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omments9.xml" ContentType="application/vnd.openxmlformats-officedocument.spreadsheetml.comments+xml"/>
  <Override PartName="/xl/comments16.xml" ContentType="application/vnd.openxmlformats-officedocument.spreadsheetml.comments+xml"/>
  <Override PartName="/xl/comments22.xml" ContentType="application/vnd.openxmlformats-officedocument.spreadsheetml.comments+xml"/>
</Types>
</file>

<file path=_rels/.rels><?xml version="1.0" encoding="UTF-8" standalone="yes"?><Relationships xmlns="http://schemas.openxmlformats.org/package/2006/relationships" ><Relationship Id="rId1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3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1580"/>
  </bookViews>
  <sheets>
    <sheet name="کارعملی1" sheetId="1" r:id="rId4"/>
    <sheet name="کارعملی 2" sheetId="2" r:id="rId5"/>
    <sheet name="کار عملی 3" sheetId="3" r:id="rId6"/>
    <sheet name="کارعملی 4" sheetId="4" r:id="rId7"/>
    <sheet name="کارعملی5" sheetId="5" r:id="rId8"/>
    <sheet name="کارعملی6" sheetId="6" r:id="rId9"/>
    <sheet name="کارعملی7" sheetId="7" r:id="rId10"/>
    <sheet name="کار عملی8" sheetId="8" r:id="rId11"/>
    <sheet name="کارعملی9" sheetId="9" r:id="rId12"/>
    <sheet name="کارعملی10" sheetId="10" r:id="rId13"/>
    <sheet name="کارعملی 11" sheetId="11" r:id="rId14"/>
    <sheet name="کارعملی12" sheetId="12" r:id="rId15"/>
    <sheet name="کارعملی 13" sheetId="13" r:id="rId16"/>
    <sheet name="کار عملی 14" sheetId="14" r:id="rId17"/>
    <sheet name="کار عملی 15" sheetId="15" r:id="rId18"/>
    <sheet name="کار عملی 16" sheetId="16" r:id="rId19"/>
    <sheet name="کارعملی17" sheetId="17" r:id="rId20"/>
    <sheet name="کار عملی 18" sheetId="18" r:id="rId21"/>
    <sheet name="کارعملی 19" sheetId="19" r:id="rId22"/>
    <sheet name="کارعملی 20" sheetId="20" r:id="rId23"/>
    <sheet name="کارعملی 21" sheetId="21" r:id="rId24"/>
    <sheet name="کارعملی 22" sheetId="22" r:id="rId25"/>
  </sheets>
</workbook>
</file>

<file path=xl/comments16.xml><?xml version="1.0" encoding="utf-8"?>
<comments xmlns="http://schemas.openxmlformats.org/spreadsheetml/2006/main">
  <authors>
    <author>HP</author>
  </authors>
  <commentList>
    <comment ref="C10" authorId="0">
      <text>
        <r>
          <rPr>
            <b/>
            <sz val="8"/>
            <color rgb="ff000000"/>
            <rFont val="Tahoma"/>
            <charset val="1"/>
          </rPr>
          <t>HP:</t>
        </r>
        <r>
          <rPr>
            <sz val="8"/>
            <color rgb="ff000000"/>
            <rFont val="Tahoma"/>
            <charset val="1"/>
          </rPr>
          <t xml:space="preserve">
چون مجموع ساعات از ظرفیت اسمی بیشتر میشود حداکثر تا 28000 حساب و بقیه استهلاک نیست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E5" authorId="0">
      <text>
        <r>
          <rPr>
            <b/>
            <sz val="8"/>
            <color rgb="ff000000"/>
            <rFont val="Tahoma"/>
            <charset val="1"/>
          </rPr>
          <t>HP:</t>
        </r>
        <r>
          <rPr>
            <sz val="8"/>
            <color rgb="ff000000"/>
            <rFont val="Tahoma"/>
            <charset val="1"/>
          </rPr>
          <t xml:space="preserve">
محاسبات
120000000/15=8000000    380380000/25*8/12=101434667 8000000+10143467=18143467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A18" authorId="0">
      <text>
        <r>
          <rPr>
            <b/>
            <sz val="8"/>
            <color rgb="ff000000"/>
            <rFont val="Tahoma"/>
            <charset val="1"/>
          </rPr>
          <t>HP:</t>
        </r>
        <r>
          <rPr>
            <sz val="8"/>
            <color rgb="ff000000"/>
            <rFont val="Tahoma"/>
            <charset val="1"/>
          </rPr>
          <t xml:space="preserve">
5% بهای تمام شده
</t>
        </r>
      </text>
    </comment>
  </commentList>
</comments>
</file>

<file path=xl/sharedStrings.xml><?xml version="1.0" encoding="utf-8"?>
<sst xmlns="http://schemas.openxmlformats.org/spreadsheetml/2006/main" count="514" uniqueCount="282">
  <si>
    <t>کارت اموال  شرکت همدان</t>
  </si>
  <si>
    <t>مشخصات دارایی</t>
  </si>
  <si>
    <t>شماره دارایی</t>
  </si>
  <si>
    <t>شماره برگه ایجاد و تحویل دارایی ثابت:    میز اداری                       تاریخ  10 / 7 /96</t>
  </si>
  <si>
    <t xml:space="preserve">حساب معین        </t>
  </si>
  <si>
    <t xml:space="preserve">مرکز هزینه         </t>
  </si>
  <si>
    <t xml:space="preserve">گروه دارایی            </t>
  </si>
  <si>
    <t>ردیف</t>
  </si>
  <si>
    <t>خریداری ازفروشگاه مهتاب     صورتحساب 1245   به تاریخ96/7/5</t>
  </si>
  <si>
    <t>تا</t>
  </si>
  <si>
    <t>از</t>
  </si>
  <si>
    <t>تعداد: 1    قیمت واحد:4250000</t>
  </si>
  <si>
    <t>میز مدیریت</t>
  </si>
  <si>
    <t>حسابداری</t>
  </si>
  <si>
    <t>اثاثه اداری</t>
  </si>
  <si>
    <t>تاریخ خرید 10 / 7/  96      تاریخ بهره برداری11 / 7 /96</t>
  </si>
  <si>
    <t>شماره بارکد: 1234567</t>
  </si>
  <si>
    <t>شماره پلاک: م /85210</t>
  </si>
  <si>
    <t xml:space="preserve">محل استقرار:                                                           واحد حسابداری </t>
  </si>
  <si>
    <t>روش استهلاک:</t>
  </si>
  <si>
    <t xml:space="preserve">          نزولی    درصد</t>
  </si>
  <si>
    <t xml:space="preserve">           مستقیم   5   ساله</t>
  </si>
  <si>
    <t xml:space="preserve">          برمبنای فعالیت</t>
  </si>
  <si>
    <t>ارزش دفتری</t>
  </si>
  <si>
    <t>استهلاک دارایی</t>
  </si>
  <si>
    <t>بهای تمام شده</t>
  </si>
  <si>
    <t>شرح</t>
  </si>
  <si>
    <t>سند حسابداری</t>
  </si>
  <si>
    <t>استهلاک انباشته</t>
  </si>
  <si>
    <t>استهلاک سالانه</t>
  </si>
  <si>
    <t>سال</t>
  </si>
  <si>
    <t>تاریخ</t>
  </si>
  <si>
    <t>شماره</t>
  </si>
  <si>
    <t>خرید میز مدیریت</t>
  </si>
  <si>
    <t>96/7/10</t>
  </si>
  <si>
    <t>جمع</t>
  </si>
  <si>
    <t>سایر توضیحات:</t>
  </si>
  <si>
    <t>جدول استهلاک به روش خط مستقیم</t>
  </si>
  <si>
    <t>هزینه استهلاک</t>
  </si>
  <si>
    <t>محاسبات</t>
  </si>
  <si>
    <t>(22000000-0):5*9/12=3300000</t>
  </si>
  <si>
    <t>(22000000-0):5=4400000</t>
  </si>
  <si>
    <t>(22000000-0):5*3/12=1100000</t>
  </si>
  <si>
    <t>بهای تمام شده ساختمان</t>
  </si>
  <si>
    <t>ثبت در دفتر روزنامه</t>
  </si>
  <si>
    <t>شرکت کاشان</t>
  </si>
  <si>
    <t>بهای خرید نقدی</t>
  </si>
  <si>
    <t>(83800000-5300000):10=7850000</t>
  </si>
  <si>
    <t>استهلاک سالانه ساختمان</t>
  </si>
  <si>
    <t>بس</t>
  </si>
  <si>
    <t>بد</t>
  </si>
  <si>
    <t>ترازنامه</t>
  </si>
  <si>
    <t>کمیسیون بنگاه</t>
  </si>
  <si>
    <t>7850000*7/12=4579167</t>
  </si>
  <si>
    <t>استهلاک سال 94</t>
  </si>
  <si>
    <t>هزینه استهلاک ساختمان</t>
  </si>
  <si>
    <t>94/12/29</t>
  </si>
  <si>
    <t>استهلاک سال 95</t>
  </si>
  <si>
    <t>استهلاک انباشته ساختمان</t>
  </si>
  <si>
    <t>بدهیهای جاری</t>
  </si>
  <si>
    <t>داراییهای جاری</t>
  </si>
  <si>
    <t>95/12/30</t>
  </si>
  <si>
    <t>بدهیهای غیر جاری</t>
  </si>
  <si>
    <t>داراییهای غیر جاری</t>
  </si>
  <si>
    <t>سرمایه</t>
  </si>
  <si>
    <t>ساختمان</t>
  </si>
  <si>
    <t xml:space="preserve">ارزش دفتری </t>
  </si>
  <si>
    <t>جمع بدهیها و سرمایه</t>
  </si>
  <si>
    <t>جمع داراییها</t>
  </si>
  <si>
    <t>مبلغ استهلاک</t>
  </si>
  <si>
    <t>عمر مفید(سال)</t>
  </si>
  <si>
    <t>ارزش اسقاط</t>
  </si>
  <si>
    <t>تاریخ خرید</t>
  </si>
  <si>
    <t>نام دارایی</t>
  </si>
  <si>
    <t>1396/1/1</t>
  </si>
  <si>
    <t>آبگرمکن</t>
  </si>
  <si>
    <t>1396/4/15</t>
  </si>
  <si>
    <t>کولر</t>
  </si>
  <si>
    <t>1396/5/18</t>
  </si>
  <si>
    <t>دستگاه پول شمار</t>
  </si>
  <si>
    <t>1396/6/20</t>
  </si>
  <si>
    <t>جرثقیل</t>
  </si>
  <si>
    <t>1396/ 8 /5</t>
  </si>
  <si>
    <t>ساختمان آجری</t>
  </si>
  <si>
    <t>1396/9/30</t>
  </si>
  <si>
    <t>نرم افزار حسابداری</t>
  </si>
  <si>
    <t>بهای تمام شده اثاثه</t>
  </si>
  <si>
    <t>جدول استهلاک به روش نرخ ثابت</t>
  </si>
  <si>
    <t>حمل</t>
  </si>
  <si>
    <t>(830000-125000)*20%*4/12=47000</t>
  </si>
  <si>
    <t>(830000-125000)*20%=141000</t>
  </si>
  <si>
    <t>(830000-125000)*20%*8/12=94000</t>
  </si>
  <si>
    <t>نرخ استهلاک</t>
  </si>
  <si>
    <t>یخچال</t>
  </si>
  <si>
    <t>موتور سیکلت</t>
  </si>
  <si>
    <t>تجهیزات دندان پزشکی</t>
  </si>
  <si>
    <t>ارزش دفتری پایان دوره</t>
  </si>
  <si>
    <t>استهلاک انباشته آخر دوره</t>
  </si>
  <si>
    <t>استهلاک سال جاری</t>
  </si>
  <si>
    <t>روش استهلاک</t>
  </si>
  <si>
    <t>مدت استهلاک (سال)</t>
  </si>
  <si>
    <t>ماههای بهره برداری</t>
  </si>
  <si>
    <t>استهلاک انباشته اول دوه</t>
  </si>
  <si>
    <t>بهای تمام شده آخر دوره</t>
  </si>
  <si>
    <t>خرید طی دوره</t>
  </si>
  <si>
    <t>بهای تمام شده (اول دوره )</t>
  </si>
  <si>
    <t>تاریخ بهره برداری</t>
  </si>
  <si>
    <t>مستقیم</t>
  </si>
  <si>
    <t>صندلی</t>
  </si>
  <si>
    <t>تلفن رومیزی</t>
  </si>
  <si>
    <t>چاپگر</t>
  </si>
  <si>
    <t>95/5/3</t>
  </si>
  <si>
    <t>95/9/18</t>
  </si>
  <si>
    <t>کارت اموال شرکت ایران</t>
  </si>
  <si>
    <t>شماره برگه ایجاد و تحویل دارایی ثابت:  جاروبرقی                            تاریخ   /  /</t>
  </si>
  <si>
    <t>حساب معین</t>
  </si>
  <si>
    <t>مرکز هزینه</t>
  </si>
  <si>
    <t>گروه دارایی</t>
  </si>
  <si>
    <t>خریداری از فروشگاه امید    صورتحساب 11 به تاریخ 12/ 3/95</t>
  </si>
  <si>
    <t>تعداد: یک دستگاه    قیمت واحد:2600000</t>
  </si>
  <si>
    <t>جارو برقی</t>
  </si>
  <si>
    <t>اداری</t>
  </si>
  <si>
    <t>تاریخ خرید12 /3 /95     تاریخ بهره برداری 95/3/14</t>
  </si>
  <si>
    <t>شماره بارکد:78954321</t>
  </si>
  <si>
    <t>شماره پلاک:12345</t>
  </si>
  <si>
    <t>محل استقرار:                                                             بخش اداری اتاق 402</t>
  </si>
  <si>
    <t>نزولی    درصد</t>
  </si>
  <si>
    <t>مستقیم  4    ساله</t>
  </si>
  <si>
    <t>برمبنای فعالیت</t>
  </si>
  <si>
    <t>استهلاک سال 96</t>
  </si>
  <si>
    <t>96/12/29</t>
  </si>
  <si>
    <t>استهلاک سال 97</t>
  </si>
  <si>
    <t>97/12/29</t>
  </si>
  <si>
    <t>استهلاک سال 98</t>
  </si>
  <si>
    <t>98/12/29</t>
  </si>
  <si>
    <t>استهلاک سال 99</t>
  </si>
  <si>
    <t>99/12/30</t>
  </si>
  <si>
    <t>جدول استهلاک به روش مانده نزولی</t>
  </si>
  <si>
    <t>20000000*20%*6/12=2000000</t>
  </si>
  <si>
    <t>(20000000-2000000)*20%=3600000</t>
  </si>
  <si>
    <t>(20000000-5600000)*20%=2880000</t>
  </si>
  <si>
    <t>(20000000-8480000)*20%=2304000</t>
  </si>
  <si>
    <t>(20000000-10784000)*20%=1843200</t>
  </si>
  <si>
    <t>340000000*15%*1/12=2000000</t>
  </si>
  <si>
    <t>5درصد بهای تمام شده</t>
  </si>
  <si>
    <t>جدول استهلاک به روش مانده نزولی با نرخ مضاعف</t>
  </si>
  <si>
    <t>cost</t>
  </si>
  <si>
    <t>(290000000*2/16)*4/16=12083333</t>
  </si>
  <si>
    <t>salvage</t>
  </si>
  <si>
    <t>277916667*2/16=34739583</t>
  </si>
  <si>
    <t>life</t>
  </si>
  <si>
    <t>243177083*2/16=30397135</t>
  </si>
  <si>
    <t>212779948*2/16=26597493</t>
  </si>
  <si>
    <t>186182454*2/16=23272807</t>
  </si>
  <si>
    <t>162909648*2/16=20363706</t>
  </si>
  <si>
    <t>استهلاک سال اول</t>
  </si>
  <si>
    <t>(800000000-0)*20%=</t>
  </si>
  <si>
    <t>انباشته در پایان سال اول</t>
  </si>
  <si>
    <t>استهلاک سال دوم</t>
  </si>
  <si>
    <t>(800000000-160000000)*20%=</t>
  </si>
  <si>
    <t>انباشته در پایان سال دوم</t>
  </si>
  <si>
    <t>استهلاک سال سوم</t>
  </si>
  <si>
    <t>(800000000-288000000)*20%=</t>
  </si>
  <si>
    <t>انباشته در پایان سال سوم</t>
  </si>
  <si>
    <t>استهلاک سال چهارم</t>
  </si>
  <si>
    <t>(800000000-390400000)*20%=</t>
  </si>
  <si>
    <t>انباشته در پایان سال چهارم</t>
  </si>
  <si>
    <t>(800000000-472320000)*20%=</t>
  </si>
  <si>
    <t>انباشته در پایان سال پنجم</t>
  </si>
  <si>
    <t>مقایسه استهلاک</t>
  </si>
  <si>
    <t>نرخ مضاعف با نرخ 10 درصد</t>
  </si>
  <si>
    <t>روش مانده نزولی با نرخ 8 درصد</t>
  </si>
  <si>
    <t>هزینه استهلاک در روش نرخ مضاعف</t>
  </si>
  <si>
    <t>هزینه استهلاک در روش مجموع سنوات</t>
  </si>
  <si>
    <t>نرخ مجموع سنوات</t>
  </si>
  <si>
    <t>تابع DDB</t>
  </si>
  <si>
    <t>تابع SYD</t>
  </si>
  <si>
    <t>جدول استهلاک به روش ساعات کارکرد</t>
  </si>
  <si>
    <t>کارکرد سالانه (ساعت)</t>
  </si>
  <si>
    <t>(82000000-7000000)*9100/50000=13650000</t>
  </si>
  <si>
    <t>(82000000-7000000)*7450/50000=11175000</t>
  </si>
  <si>
    <t>(82000000-7000000)*8800/50000=13200000</t>
  </si>
  <si>
    <t>(82000000-7000000)*8250/50000=12375000</t>
  </si>
  <si>
    <t>(82000000-7000000)*7500/50000=11250000</t>
  </si>
  <si>
    <t>(82000000-7000000)*8900/50000=13350000</t>
  </si>
  <si>
    <t>(76000000-6000000)*3600/28000=9000000</t>
  </si>
  <si>
    <t>(76000000-6000000)*3800/28000=9500000</t>
  </si>
  <si>
    <t>(76000000-6000000)*3450/28000=8625000</t>
  </si>
  <si>
    <t>(76000000-6000000)*3200/28000=8000000</t>
  </si>
  <si>
    <t>(76000000-6000000)*3550/28000=8875000</t>
  </si>
  <si>
    <t>(76000000-6000000)*3900/28000=9750000</t>
  </si>
  <si>
    <t>(76000000-6000000)*3500/28000=8750000</t>
  </si>
  <si>
    <t>(76000000-6000000)*3000/28000=8250000</t>
  </si>
  <si>
    <t>کارکرد دارایی (کیلومتر)</t>
  </si>
  <si>
    <t>(140750000-20000000)*22000/350000</t>
  </si>
  <si>
    <t>(140750000-20000000)*30000/350000</t>
  </si>
  <si>
    <t>(140750000-20000000)*36000/350000</t>
  </si>
  <si>
    <t>(140750000-20000000)*39000/350000</t>
  </si>
  <si>
    <t>(140750000-20000000)*41500/350000</t>
  </si>
  <si>
    <t>(140750000-20000000)*28000/350000</t>
  </si>
  <si>
    <t>(140750000-20000000)*34000/350000</t>
  </si>
  <si>
    <t>(140750000-20000000)*38500/350000</t>
  </si>
  <si>
    <t>(140750000-20000000)*44000/350000</t>
  </si>
  <si>
    <t>(140750000-20000000)*37000/350000</t>
  </si>
  <si>
    <t>اول</t>
  </si>
  <si>
    <t>دوم</t>
  </si>
  <si>
    <t>مانده نزولی نرخ 12 %</t>
  </si>
  <si>
    <t>تعداد تولید</t>
  </si>
  <si>
    <t>مجموع سنوات</t>
  </si>
  <si>
    <t>خط مستقیم</t>
  </si>
  <si>
    <t>جواب</t>
  </si>
  <si>
    <t>نزولی 12%</t>
  </si>
  <si>
    <t>تابع SLN</t>
  </si>
  <si>
    <t>(1600000-100000):5=300000</t>
  </si>
  <si>
    <t>جدول استهلاک به روش مجموع سنوات</t>
  </si>
  <si>
    <t>(1600000-100000)*5/15=500000</t>
  </si>
  <si>
    <t>(1600000-100000)*4/15=400000</t>
  </si>
  <si>
    <t>(1600000-100000)*3/15=300000</t>
  </si>
  <si>
    <t>(1600000-100000)*2/15=200000</t>
  </si>
  <si>
    <t>(1600000-100000)*1/15=100000</t>
  </si>
  <si>
    <t>جدول استهلاک به روش نزولی با نرخ مضاعف</t>
  </si>
  <si>
    <t>1600000*2/5=640000</t>
  </si>
  <si>
    <t>(1600000-640000)*2/5=384000</t>
  </si>
  <si>
    <t>(1600000-1024000)*2/5=230400</t>
  </si>
  <si>
    <t>(1600000-1254400)*2/5=138240</t>
  </si>
  <si>
    <t>(1600000-1392640)*2/5=82944</t>
  </si>
  <si>
    <t>5درصد ارزش دفتری</t>
  </si>
  <si>
    <t>(380000000-20000000):8=45000000</t>
  </si>
  <si>
    <t>جدول استهلاک به روش مانده نزولی نرخ 12%</t>
  </si>
  <si>
    <t>دوره</t>
  </si>
  <si>
    <t>380000000*12%=45600000</t>
  </si>
  <si>
    <t>(380000000-45600000)*12%=40128000</t>
  </si>
  <si>
    <t>(380000000-85728000)*12%=35312640</t>
  </si>
  <si>
    <t>(380000000-121040640)*12%=31075123</t>
  </si>
  <si>
    <t>(380000000-152115763)*12%=27346108</t>
  </si>
  <si>
    <t>(380000000-179461872)*12%=24064575</t>
  </si>
  <si>
    <t>(380000000-203526447)*12%=176473553</t>
  </si>
  <si>
    <t>(380000000-224703273)*12%=18635607</t>
  </si>
  <si>
    <t>(380000000-20000000)*8/36=80000000</t>
  </si>
  <si>
    <t>(380000000-20000000)*7/36=70000000</t>
  </si>
  <si>
    <t>(380000000-20000000)*6/36=60000000</t>
  </si>
  <si>
    <t>(380000000-20000000)*5/36=50000000</t>
  </si>
  <si>
    <t>(380000000-20000000)*4/36=40000000</t>
  </si>
  <si>
    <t>(380000000-20000000)*3/36=30000000</t>
  </si>
  <si>
    <t>(380000000-20000000)*2/36=20000000</t>
  </si>
  <si>
    <t>(380000000-20000000)*1/36=10000000</t>
  </si>
  <si>
    <t>380000000*2/8=95000000</t>
  </si>
  <si>
    <t>(380000000-95000000)*2/8=71250000</t>
  </si>
  <si>
    <t>(380000000-166250000)*2/8=53437500</t>
  </si>
  <si>
    <t>(380000000-219687500)*2/8=40078125</t>
  </si>
  <si>
    <t>(380000000-259765625)*2/8=30058594</t>
  </si>
  <si>
    <t>(380000000-289824219)*2/8=22543945</t>
  </si>
  <si>
    <t>(380000000-312368164)*2/8=16907959</t>
  </si>
  <si>
    <t>(380000000-329276123)*2/8=12680969</t>
  </si>
  <si>
    <t>جدول استهلاک به روش ساعات کارکر</t>
  </si>
  <si>
    <t>جدول استهلاک به روش میزان تولید</t>
  </si>
  <si>
    <t>شرکت اراک</t>
  </si>
  <si>
    <t>ماه های بهره برداری</t>
  </si>
  <si>
    <t>روش محاسبه استهلاک</t>
  </si>
  <si>
    <t>عمر مفید</t>
  </si>
  <si>
    <t>-</t>
  </si>
  <si>
    <t>صفر</t>
  </si>
  <si>
    <t>سردخانه</t>
  </si>
  <si>
    <t>مانده نزولی</t>
  </si>
  <si>
    <t>ژنراتور</t>
  </si>
  <si>
    <t>حق التالیف</t>
  </si>
  <si>
    <t>شرکت البرز</t>
  </si>
  <si>
    <t>جدول داراییهای ثابت و استهلاک آنها موضوع ماده 149 قانون مالیات های مستقیم سال مالی 1395</t>
  </si>
  <si>
    <t>شرح اقلام دارایی</t>
  </si>
  <si>
    <t>مانده پایان سال مالی(نقل به ترازنامه)</t>
  </si>
  <si>
    <t>مانده پایان دوره</t>
  </si>
  <si>
    <t>انتقالات بین اقلام داراییها</t>
  </si>
  <si>
    <t>استهلاک داراییهای فروش رفته</t>
  </si>
  <si>
    <t>مانده اول دوره</t>
  </si>
  <si>
    <t>مانده آخر دوره</t>
  </si>
  <si>
    <t>دارایی فروش رفته طی دوره</t>
  </si>
  <si>
    <t>دارایی خریداری شده طی دوره</t>
  </si>
  <si>
    <t>ماشین آلات</t>
  </si>
  <si>
    <t>وسایط نقلیه</t>
  </si>
  <si>
    <t>اثاثه و منصوبات</t>
  </si>
  <si>
    <t>جمع کل</t>
  </si>
  <si>
    <t>(290000000*2/16)*4/12=12083333</t>
  </si>
</sst>
</file>

<file path=xl/styles.xml><?xml version="1.0" encoding="utf-8"?>
<styleSheet xmlns="http://schemas.openxmlformats.org/spreadsheetml/2006/main">
  <numFmts count="1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59" formatCode="General"/>
    <numFmt numFmtId="60" formatCode="General"/>
    <numFmt numFmtId="61" formatCode="General"/>
    <numFmt numFmtId="62" formatCode="General"/>
    <numFmt numFmtId="63" formatCode="General"/>
    <numFmt numFmtId="64" formatCode="General"/>
    <numFmt numFmtId="65" formatCode="General"/>
    <numFmt numFmtId="66" formatCode="General"/>
    <numFmt numFmtId="67" formatCode="General"/>
    <numFmt numFmtId="68" formatCode="General"/>
    <numFmt numFmtId="69" formatCode="General"/>
    <numFmt numFmtId="70" formatCode="General"/>
    <numFmt numFmtId="71" formatCode="General"/>
    <numFmt numFmtId="72" formatCode="General"/>
    <numFmt numFmtId="73" formatCode="General"/>
    <numFmt numFmtId="74" formatCode="General"/>
    <numFmt numFmtId="75" formatCode="General"/>
    <numFmt numFmtId="76" formatCode="General"/>
    <numFmt numFmtId="77" formatCode="General"/>
    <numFmt numFmtId="78" formatCode="General"/>
    <numFmt numFmtId="79" formatCode="General"/>
    <numFmt numFmtId="80" formatCode="General"/>
    <numFmt numFmtId="81" formatCode="General"/>
    <numFmt numFmtId="82" formatCode="General"/>
    <numFmt numFmtId="83" formatCode="General"/>
    <numFmt numFmtId="84" formatCode="General"/>
    <numFmt numFmtId="85" formatCode="General"/>
    <numFmt numFmtId="86" formatCode="General"/>
    <numFmt numFmtId="87" formatCode="General"/>
    <numFmt numFmtId="88" formatCode="General"/>
    <numFmt numFmtId="89" formatCode="General"/>
    <numFmt numFmtId="90" formatCode="General"/>
    <numFmt numFmtId="91" formatCode="General"/>
    <numFmt numFmtId="92" formatCode="General"/>
    <numFmt numFmtId="93" formatCode="General"/>
    <numFmt numFmtId="94" formatCode="General"/>
    <numFmt numFmtId="95" formatCode="General"/>
    <numFmt numFmtId="96" formatCode="General"/>
    <numFmt numFmtId="97" formatCode="General"/>
    <numFmt numFmtId="98" formatCode="General"/>
    <numFmt numFmtId="99" formatCode="General"/>
    <numFmt numFmtId="100" formatCode="General"/>
    <numFmt numFmtId="101" formatCode="General"/>
    <numFmt numFmtId="102" formatCode="General"/>
    <numFmt numFmtId="103" formatCode="General"/>
    <numFmt numFmtId="104" formatCode="General"/>
    <numFmt numFmtId="105" formatCode="General"/>
    <numFmt numFmtId="106" formatCode="General"/>
    <numFmt numFmtId="107" formatCode="General"/>
    <numFmt numFmtId="108" formatCode="General"/>
    <numFmt numFmtId="109" formatCode="General"/>
    <numFmt numFmtId="110" formatCode="General"/>
    <numFmt numFmtId="111" formatCode="General"/>
    <numFmt numFmtId="112" formatCode="General"/>
    <numFmt numFmtId="113" formatCode="General"/>
    <numFmt numFmtId="114" formatCode="General"/>
    <numFmt numFmtId="115" formatCode="General"/>
    <numFmt numFmtId="116" formatCode="General"/>
    <numFmt numFmtId="117" formatCode="General"/>
    <numFmt numFmtId="118" formatCode="General"/>
    <numFmt numFmtId="119" formatCode="General"/>
    <numFmt numFmtId="120" formatCode="General"/>
    <numFmt numFmtId="121" formatCode="General"/>
    <numFmt numFmtId="122" formatCode="General"/>
    <numFmt numFmtId="123" formatCode="General"/>
    <numFmt numFmtId="124" formatCode="General"/>
    <numFmt numFmtId="125" formatCode="General"/>
    <numFmt numFmtId="126" formatCode="General"/>
    <numFmt numFmtId="127" formatCode="General"/>
    <numFmt numFmtId="128" formatCode="General"/>
    <numFmt numFmtId="129" formatCode="General"/>
    <numFmt numFmtId="130" formatCode="General"/>
    <numFmt numFmtId="131" formatCode="General"/>
    <numFmt numFmtId="132" formatCode="General"/>
    <numFmt numFmtId="133" formatCode="General"/>
    <numFmt numFmtId="134" formatCode="General"/>
    <numFmt numFmtId="135" formatCode="General"/>
    <numFmt numFmtId="136" formatCode="General"/>
    <numFmt numFmtId="137" formatCode="General"/>
    <numFmt numFmtId="138" formatCode="General"/>
    <numFmt numFmtId="139" formatCode="General"/>
    <numFmt numFmtId="140" formatCode="General"/>
    <numFmt numFmtId="141" formatCode="General"/>
    <numFmt numFmtId="142" formatCode="General"/>
    <numFmt numFmtId="143" formatCode="General"/>
    <numFmt numFmtId="144" formatCode="General"/>
    <numFmt numFmtId="145" formatCode="General"/>
    <numFmt numFmtId="146" formatCode="General"/>
    <numFmt numFmtId="147" formatCode="General"/>
    <numFmt numFmtId="148" formatCode="General"/>
    <numFmt numFmtId="149" formatCode="General"/>
    <numFmt numFmtId="150" formatCode="General"/>
    <numFmt numFmtId="151" formatCode="General"/>
    <numFmt numFmtId="152" formatCode="General"/>
    <numFmt numFmtId="153" formatCode="General"/>
    <numFmt numFmtId="154" formatCode="General"/>
    <numFmt numFmtId="155" formatCode="General"/>
    <numFmt numFmtId="156" formatCode="General"/>
    <numFmt numFmtId="157" formatCode="General"/>
    <numFmt numFmtId="158" formatCode="General"/>
    <numFmt numFmtId="159" formatCode="General"/>
    <numFmt numFmtId="160" formatCode="General"/>
    <numFmt numFmtId="161" formatCode="General"/>
    <numFmt numFmtId="162" formatCode="General"/>
    <numFmt numFmtId="163" formatCode="General"/>
    <numFmt numFmtId="164" formatCode="_(* #,##0_);_(* \(#,##0\);_(* &quot;-&quot;??_);_(@_)"/>
    <numFmt numFmtId="165" formatCode="_(&quot;$&quot;* #,##0_);_(&quot;$&quot;* \(#,##0\);_(&quot;$&quot;* &quot;-&quot;??_);_(@_)"/>
  </numFmts>
  <fonts count="19">
    <font>
      <sz val="14.0"/>
      <color rgb="ff000000"/>
      <name val="Cambria"/>
      <charset val="1"/>
    </font>
    <font>
      <sz val="11.0"/>
      <color rgb="ff000000"/>
      <name val="Arial"/>
      <charset val="1"/>
    </font>
    <font>
      <sz val="11.0"/>
      <color rgb="ff000000"/>
      <name val="Arial"/>
      <charset val="1"/>
    </font>
    <font>
      <sz val="11.0"/>
      <color rgb="ff000000"/>
      <name val="Arial"/>
      <charset val="1"/>
    </font>
    <font>
      <sz val="14.0"/>
      <color rgb="ff000000"/>
      <name val="Cambria"/>
      <charset val="1"/>
    </font>
    <font>
      <sz val="11.0"/>
      <color rgb="ff000000"/>
      <name val="Arial"/>
      <charset val="1"/>
    </font>
    <font>
      <sz val="14.0"/>
      <color rgb="ff000000"/>
      <name val="2  Nazanin"/>
      <charset val="1"/>
    </font>
    <font>
      <sz val="14.0"/>
      <color rgb="ff33cccc"/>
      <name val="2  Nazanin"/>
      <charset val="1"/>
    </font>
    <font>
      <sz val="14.0"/>
      <color rgb="ff000000"/>
      <name val="2  Nazanin"/>
      <b/>
      <charset val="1"/>
    </font>
    <font>
      <sz val="10.0"/>
      <color rgb="ff000000"/>
      <name val="2  Nazanin"/>
      <charset val="1"/>
    </font>
    <font>
      <sz val="14.0"/>
      <color rgb="ffff0000"/>
      <name val="2  Nazanin"/>
      <charset val="1"/>
    </font>
    <font>
      <sz val="10.0"/>
      <color rgb="ff000000"/>
      <name val="2  Nazanin"/>
      <b/>
      <charset val="1"/>
    </font>
    <font>
      <sz val="12.0"/>
      <color rgb="ffff0000"/>
      <name val="2  Nazanin"/>
      <charset val="1"/>
    </font>
    <font>
      <sz val="12.0"/>
      <color rgb="ff000000"/>
      <name val="2  Nazanin"/>
      <charset val="1"/>
    </font>
    <font>
      <sz val="10.0"/>
      <color rgb="ffff0000"/>
      <name val="Cambria"/>
      <charset val="1"/>
    </font>
    <font>
      <sz val="14.0"/>
      <color rgb="ffff0000"/>
      <name val="Cambria"/>
      <charset val="1"/>
    </font>
    <font>
      <sz val="14.0"/>
      <color rgb="ff000000"/>
      <name val="2  Titr"/>
      <charset val="1"/>
    </font>
    <font>
      <sz val="18.0"/>
      <color rgb="ff000000"/>
      <name val="2  Nazanin"/>
      <b/>
      <charset val="1"/>
    </font>
    <font>
      <sz val="10.0"/>
      <color rgb="ff000000"/>
      <name val="Cambria"/>
      <charset val="1"/>
    </font>
  </fonts>
  <fills count="9">
    <fill>
      <patternFill patternType="none"/>
    </fill>
    <fill>
      <patternFill patternType="gray125"/>
    </fill>
    <fill>
      <patternFill patternType="solid">
        <fgColor rgb="ffcccc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93366"/>
        <bgColor rgb="ff000000"/>
      </patternFill>
    </fill>
    <fill>
      <patternFill patternType="solid">
        <fgColor rgb="ff666699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0000"/>
        <bgColor rgb="ff000000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/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0" fillId="0" borderId="0" xfId="0" applyNumberFormat="1" applyFont="1" applyFill="1" applyBorder="1" applyAlignment="1">
      <alignment horizontal="general" vertical="bottom"/>
    </xf>
    <xf numFmtId="0" fontId="5" fillId="0" borderId="0" xfId="0" applyNumberFormat="1" applyFont="1" applyFill="1" applyBorder="1" applyAlignment="1">
      <alignment horizontal="general" vertical="bottom"/>
    </xf>
    <xf numFmtId="0" fontId="6" fillId="0" borderId="0" xfId="0" applyNumberFormat="1" applyFont="1" applyFill="1" applyBorder="1" applyAlignment="1">
      <alignment horizontal="general" vertical="bottom"/>
    </xf>
    <xf numFmtId="0" fontId="6" fillId="0" borderId="0" xfId="0" applyNumberFormat="1" applyFont="1" applyFill="1" applyBorder="1" applyAlignment="1">
      <alignment horizontal="center" vertical="bottom"/>
    </xf>
    <xf numFmtId="0" fontId="6" fillId="0" borderId="1" xfId="0" applyNumberFormat="1" applyFont="1" applyFill="1" applyBorder="1" applyAlignment="1">
      <alignment horizontal="center" vertical="bottom"/>
    </xf>
    <xf numFmtId="0" fontId="6" fillId="0" borderId="2" xfId="0" applyNumberFormat="1" applyFont="1" applyFill="1" applyBorder="1" applyAlignment="1">
      <alignment horizontal="center" vertical="bottom"/>
    </xf>
    <xf numFmtId="0" fontId="6" fillId="0" borderId="3" xfId="0" applyNumberFormat="1" applyFont="1" applyFill="1" applyBorder="1" applyAlignment="1">
      <alignment horizontal="center" vertical="bottom"/>
    </xf>
    <xf numFmtId="164" fontId="6" fillId="0" borderId="1" xfId="0" applyNumberFormat="1" applyFont="1" applyFill="1" applyBorder="1" applyAlignment="1">
      <alignment horizontal="center" vertical="bottom"/>
    </xf>
    <xf numFmtId="164" fontId="6" fillId="0" borderId="3" xfId="0" applyNumberFormat="1" applyFont="1" applyFill="1" applyBorder="1" applyAlignment="1">
      <alignment horizontal="center" vertical="bottom"/>
    </xf>
    <xf numFmtId="0" fontId="7" fillId="0" borderId="1" xfId="0" applyNumberFormat="1" applyFont="1" applyFill="1" applyBorder="1" applyAlignment="1">
      <alignment horizontal="center" vertical="bottom"/>
    </xf>
    <xf numFmtId="164" fontId="7" fillId="0" borderId="1" xfId="0" applyNumberFormat="1" applyFont="1" applyFill="1" applyBorder="1" applyAlignment="1">
      <alignment horizontal="center" vertical="bottom"/>
    </xf>
    <xf numFmtId="0" fontId="7" fillId="0" borderId="2" xfId="0" applyNumberFormat="1" applyFont="1" applyFill="1" applyBorder="1" applyAlignment="1">
      <alignment horizontal="center" vertical="bottom"/>
    </xf>
    <xf numFmtId="164" fontId="6" fillId="0" borderId="1" xfId="0" applyNumberFormat="1" applyFont="1" applyFill="1" applyBorder="1" applyAlignment="1">
      <alignment horizontal="right" vertical="bottom"/>
    </xf>
    <xf numFmtId="164" fontId="0" fillId="0" borderId="0" xfId="0" applyNumberFormat="1" applyFont="1" applyFill="1" applyBorder="1" applyAlignment="1">
      <alignment horizontal="general" vertical="bottom"/>
    </xf>
    <xf numFmtId="164" fontId="6" fillId="0" borderId="0" xfId="0" applyNumberFormat="1" applyFont="1" applyFill="1" applyBorder="1" applyAlignment="1">
      <alignment horizontal="general" vertical="bottom"/>
    </xf>
    <xf numFmtId="164" fontId="6" fillId="0" borderId="1" xfId="0" applyNumberFormat="1" applyFont="1" applyFill="1" applyBorder="1" applyAlignment="1">
      <alignment horizontal="general" vertical="bottom"/>
    </xf>
    <xf numFmtId="164" fontId="6" fillId="2" borderId="1" xfId="0" applyNumberFormat="1" applyFont="1" applyFill="1" applyBorder="1" applyAlignment="1">
      <alignment horizontal="general" vertical="bottom"/>
    </xf>
    <xf numFmtId="164" fontId="6" fillId="0" borderId="4" xfId="0" applyNumberFormat="1" applyFont="1" applyFill="1" applyBorder="1" applyAlignment="1">
      <alignment horizontal="general" vertical="bottom"/>
    </xf>
    <xf numFmtId="164" fontId="6" fillId="0" borderId="5" xfId="0" applyNumberFormat="1" applyFont="1" applyFill="1" applyBorder="1" applyAlignment="1">
      <alignment horizontal="general" vertical="bottom"/>
    </xf>
    <xf numFmtId="164" fontId="6" fillId="0" borderId="6" xfId="0" applyNumberFormat="1" applyFont="1" applyFill="1" applyBorder="1" applyAlignment="1">
      <alignment horizontal="general" vertical="bottom"/>
    </xf>
    <xf numFmtId="164" fontId="6" fillId="0" borderId="7" xfId="0" applyNumberFormat="1" applyFont="1" applyFill="1" applyBorder="1" applyAlignment="1">
      <alignment horizontal="general" vertical="bottom"/>
    </xf>
    <xf numFmtId="164" fontId="8" fillId="2" borderId="1" xfId="0" applyNumberFormat="1" applyFont="1" applyFill="1" applyBorder="1" applyAlignment="1">
      <alignment horizontal="center" vertical="bottom"/>
    </xf>
    <xf numFmtId="164" fontId="8" fillId="2" borderId="3" xfId="0" applyNumberFormat="1" applyFont="1" applyFill="1" applyBorder="1" applyAlignment="1">
      <alignment horizontal="center" vertical="bottom"/>
    </xf>
    <xf numFmtId="164" fontId="8" fillId="2" borderId="2" xfId="0" applyNumberFormat="1" applyFont="1" applyFill="1" applyBorder="1" applyAlignment="1">
      <alignment horizontal="center" vertical="bottom"/>
    </xf>
    <xf numFmtId="164" fontId="6" fillId="0" borderId="8" xfId="0" applyNumberFormat="1" applyFont="1" applyFill="1" applyBorder="1" applyAlignment="1">
      <alignment horizontal="general" vertical="bottom"/>
    </xf>
    <xf numFmtId="164" fontId="6" fillId="0" borderId="9" xfId="0" applyNumberFormat="1" applyFont="1" applyFill="1" applyBorder="1" applyAlignment="1">
      <alignment horizontal="center" vertical="bottom"/>
    </xf>
    <xf numFmtId="164" fontId="9" fillId="0" borderId="9" xfId="0" applyNumberFormat="1" applyFont="1" applyFill="1" applyBorder="1" applyAlignment="1">
      <alignment horizontal="general" vertical="bottom"/>
    </xf>
    <xf numFmtId="164" fontId="6" fillId="0" borderId="9" xfId="0" applyNumberFormat="1" applyFont="1" applyFill="1" applyBorder="1" applyAlignment="1">
      <alignment horizontal="general" vertical="bottom"/>
    </xf>
    <xf numFmtId="164" fontId="9" fillId="0" borderId="10" xfId="0" applyNumberFormat="1" applyFont="1" applyFill="1" applyBorder="1" applyAlignment="1">
      <alignment horizontal="general" vertical="bottom"/>
    </xf>
    <xf numFmtId="164" fontId="6" fillId="0" borderId="10" xfId="0" applyNumberFormat="1" applyFont="1" applyFill="1" applyBorder="1" applyAlignment="1">
      <alignment horizontal="general" vertical="bottom"/>
    </xf>
    <xf numFmtId="164" fontId="6" fillId="0" borderId="11" xfId="0" applyNumberFormat="1" applyFont="1" applyFill="1" applyBorder="1" applyAlignment="1">
      <alignment horizontal="general" vertical="bottom"/>
    </xf>
    <xf numFmtId="164" fontId="6" fillId="0" borderId="12" xfId="0" applyNumberFormat="1" applyFont="1" applyFill="1" applyBorder="1" applyAlignment="1">
      <alignment horizontal="general" vertical="bottom"/>
    </xf>
    <xf numFmtId="164" fontId="6" fillId="0" borderId="13" xfId="0" applyNumberFormat="1" applyFont="1" applyFill="1" applyBorder="1" applyAlignment="1">
      <alignment horizontal="general" vertical="bottom"/>
    </xf>
    <xf numFmtId="164" fontId="6" fillId="0" borderId="14" xfId="0" applyNumberFormat="1" applyFont="1" applyFill="1" applyBorder="1" applyAlignment="1">
      <alignment horizontal="general" vertical="bottom"/>
    </xf>
    <xf numFmtId="37" fontId="6" fillId="0" borderId="11" xfId="0" applyNumberFormat="1" applyFont="1" applyFill="1" applyBorder="1" applyAlignment="1">
      <alignment horizontal="general" vertical="bottom"/>
    </xf>
    <xf numFmtId="0" fontId="6" fillId="2" borderId="1" xfId="0" applyNumberFormat="1" applyFont="1" applyFill="1" applyBorder="1" applyAlignment="1">
      <alignment horizontal="general" vertical="bottom"/>
    </xf>
    <xf numFmtId="164" fontId="10" fillId="0" borderId="1" xfId="0" applyNumberFormat="1" applyFont="1" applyFill="1" applyBorder="1" applyAlignment="1">
      <alignment horizontal="general" vertical="bottom"/>
    </xf>
    <xf numFmtId="164" fontId="6" fillId="3" borderId="1" xfId="0" applyNumberFormat="1" applyFont="1" applyFill="1" applyBorder="1" applyAlignment="1">
      <alignment horizontal="general" vertical="bottom"/>
    </xf>
    <xf numFmtId="164" fontId="6" fillId="4" borderId="1" xfId="0" applyNumberFormat="1" applyFont="1" applyFill="1" applyBorder="1" applyAlignment="1">
      <alignment horizontal="general" vertical="bottom"/>
    </xf>
    <xf numFmtId="164" fontId="6" fillId="0" borderId="2" xfId="0" applyNumberFormat="1" applyFont="1" applyFill="1" applyBorder="1" applyAlignment="1">
      <alignment horizontal="center" vertical="bottom"/>
    </xf>
    <xf numFmtId="164" fontId="6" fillId="0" borderId="15" xfId="0" applyNumberFormat="1" applyFont="1" applyFill="1" applyBorder="1" applyAlignment="1">
      <alignment horizontal="center" vertical="bottom"/>
    </xf>
    <xf numFmtId="164" fontId="6" fillId="0" borderId="16" xfId="0" applyNumberFormat="1" applyFont="1" applyFill="1" applyBorder="1" applyAlignment="1">
      <alignment horizontal="center" vertical="bottom"/>
    </xf>
    <xf numFmtId="0" fontId="6" fillId="0" borderId="2" xfId="0" applyNumberFormat="1" applyFont="1" applyFill="1" applyBorder="1" applyAlignment="1">
      <alignment horizontal="right" vertical="bottom"/>
    </xf>
    <xf numFmtId="0" fontId="6" fillId="0" borderId="17" xfId="0" applyNumberFormat="1" applyFont="1" applyFill="1" applyBorder="1" applyAlignment="1">
      <alignment horizontal="right" vertical="bottom"/>
    </xf>
    <xf numFmtId="9" fontId="6" fillId="0" borderId="1" xfId="0" applyNumberFormat="1" applyFont="1" applyFill="1" applyBorder="1" applyAlignment="1">
      <alignment horizontal="center" vertical="bottom"/>
    </xf>
    <xf numFmtId="9" fontId="10" fillId="0" borderId="1" xfId="0" applyNumberFormat="1" applyFont="1" applyFill="1" applyBorder="1" applyAlignment="1">
      <alignment horizontal="center" vertical="bottom"/>
    </xf>
    <xf numFmtId="0" fontId="11" fillId="2" borderId="1" xfId="0" applyNumberFormat="1" applyFont="1" applyFill="1" applyBorder="1" applyAlignment="1">
      <alignment horizontal="general" vertical="bottom"/>
    </xf>
    <xf numFmtId="164" fontId="12" fillId="0" borderId="1" xfId="0" applyNumberFormat="1" applyFont="1" applyFill="1" applyBorder="1" applyAlignment="1">
      <alignment horizontal="general" vertical="bottom"/>
    </xf>
    <xf numFmtId="164" fontId="13" fillId="0" borderId="1" xfId="0" applyNumberFormat="1" applyFont="1" applyFill="1" applyBorder="1" applyAlignment="1">
      <alignment horizontal="general" vertical="bottom"/>
    </xf>
    <xf numFmtId="0" fontId="13" fillId="0" borderId="1" xfId="0" applyNumberFormat="1" applyFont="1" applyFill="1" applyBorder="1" applyAlignment="1">
      <alignment horizontal="general" vertical="bottom"/>
    </xf>
    <xf numFmtId="0" fontId="13" fillId="5" borderId="1" xfId="0" applyNumberFormat="1" applyFont="1" applyFill="1" applyBorder="1" applyAlignment="1">
      <alignment horizontal="general" vertical="bottom"/>
    </xf>
    <xf numFmtId="164" fontId="13" fillId="2" borderId="1" xfId="0" applyNumberFormat="1" applyFont="1" applyFill="1" applyBorder="1" applyAlignment="1">
      <alignment horizontal="general" vertical="bottom"/>
    </xf>
    <xf numFmtId="0" fontId="6" fillId="0" borderId="18" xfId="0" applyNumberFormat="1" applyFont="1" applyFill="1" applyBorder="1" applyAlignment="1">
      <alignment horizontal="general" vertical="top" wrapText="1"/>
    </xf>
    <xf numFmtId="0" fontId="6" fillId="0" borderId="19" xfId="0" applyNumberFormat="1" applyFont="1" applyFill="1" applyBorder="1" applyAlignment="1">
      <alignment horizontal="general" vertical="top" wrapText="1"/>
    </xf>
    <xf numFmtId="0" fontId="7" fillId="0" borderId="20" xfId="0" applyNumberFormat="1" applyFont="1" applyFill="1" applyBorder="1" applyAlignment="1">
      <alignment horizontal="general" vertical="top" wrapText="1"/>
    </xf>
    <xf numFmtId="0" fontId="7" fillId="0" borderId="20" xfId="0" applyNumberFormat="1" applyFont="1" applyFill="1" applyBorder="1" applyAlignment="1">
      <alignment horizontal="general" vertical="top"/>
    </xf>
    <xf numFmtId="0" fontId="10" fillId="0" borderId="1" xfId="0" applyNumberFormat="1" applyFont="1" applyFill="1" applyBorder="1" applyAlignment="1">
      <alignment horizontal="center" vertical="bottom"/>
    </xf>
    <xf numFmtId="164" fontId="10" fillId="0" borderId="1" xfId="0" applyNumberFormat="1" applyFont="1" applyFill="1" applyBorder="1" applyAlignment="1">
      <alignment horizontal="center" vertical="bottom"/>
    </xf>
    <xf numFmtId="164" fontId="10" fillId="0" borderId="3" xfId="0" applyNumberFormat="1" applyFont="1" applyFill="1" applyBorder="1" applyAlignment="1">
      <alignment horizontal="center" vertical="bottom"/>
    </xf>
    <xf numFmtId="0" fontId="6" fillId="3" borderId="1" xfId="0" applyNumberFormat="1" applyFont="1" applyFill="1" applyBorder="1" applyAlignment="1">
      <alignment horizontal="center" vertical="bottom"/>
    </xf>
    <xf numFmtId="0" fontId="6" fillId="6" borderId="1" xfId="0" applyNumberFormat="1" applyFont="1" applyFill="1" applyBorder="1" applyAlignment="1">
      <alignment horizontal="center" vertical="bottom"/>
    </xf>
    <xf numFmtId="164" fontId="6" fillId="7" borderId="3" xfId="0" applyNumberFormat="1" applyFont="1" applyFill="1" applyBorder="1" applyAlignment="1">
      <alignment horizontal="center" vertical="bottom"/>
    </xf>
    <xf numFmtId="164" fontId="6" fillId="7" borderId="1" xfId="0" applyNumberFormat="1" applyFont="1" applyFill="1" applyBorder="1" applyAlignment="1">
      <alignment horizontal="center" vertical="bottom"/>
    </xf>
    <xf numFmtId="0" fontId="6" fillId="7" borderId="2" xfId="0" applyNumberFormat="1" applyFont="1" applyFill="1" applyBorder="1" applyAlignment="1">
      <alignment horizontal="right" vertical="bottom"/>
    </xf>
    <xf numFmtId="8" fontId="0" fillId="0" borderId="0" xfId="0" applyNumberFormat="1" applyFont="1" applyFill="1" applyBorder="1" applyAlignment="1">
      <alignment horizontal="general" vertical="bottom"/>
    </xf>
    <xf numFmtId="164" fontId="6" fillId="0" borderId="0" xfId="0" applyNumberFormat="1" applyFont="1" applyFill="1" applyBorder="1" applyAlignment="1">
      <alignment horizontal="center" vertical="bottom"/>
    </xf>
    <xf numFmtId="0" fontId="0" fillId="0" borderId="0" xfId="0" applyNumberFormat="1" applyFont="1" applyFill="1" applyBorder="1" applyAlignment="1">
      <alignment horizontal="left" vertical="bottom"/>
    </xf>
    <xf numFmtId="0" fontId="6" fillId="0" borderId="8" xfId="0" applyNumberFormat="1" applyFont="1" applyFill="1" applyBorder="1" applyAlignment="1">
      <alignment horizontal="general" vertical="bottom"/>
    </xf>
    <xf numFmtId="0" fontId="6" fillId="0" borderId="12" xfId="0" applyNumberFormat="1" applyFont="1" applyFill="1" applyBorder="1" applyAlignment="1">
      <alignment horizontal="general" vertical="bottom"/>
    </xf>
    <xf numFmtId="0" fontId="6" fillId="0" borderId="9" xfId="0" applyNumberFormat="1" applyFont="1" applyFill="1" applyBorder="1" applyAlignment="1">
      <alignment horizontal="general" vertical="bottom"/>
    </xf>
    <xf numFmtId="164" fontId="6" fillId="0" borderId="0" xfId="0" applyNumberFormat="1" applyFont="1" applyFill="1" applyBorder="1" applyAlignment="1">
      <alignment horizontal="left" vertical="bottom"/>
    </xf>
    <xf numFmtId="0" fontId="6" fillId="2" borderId="3" xfId="0" applyNumberFormat="1" applyFont="1" applyFill="1" applyBorder="1" applyAlignment="1">
      <alignment horizontal="general" vertical="bottom"/>
    </xf>
    <xf numFmtId="0" fontId="6" fillId="2" borderId="2" xfId="0" applyNumberFormat="1" applyFont="1" applyFill="1" applyBorder="1" applyAlignment="1">
      <alignment horizontal="general" vertical="bottom"/>
    </xf>
    <xf numFmtId="164" fontId="6" fillId="0" borderId="3" xfId="0" applyNumberFormat="1" applyFont="1" applyFill="1" applyBorder="1" applyAlignment="1">
      <alignment horizontal="general" vertical="bottom"/>
    </xf>
    <xf numFmtId="164" fontId="6" fillId="0" borderId="15" xfId="0" applyNumberFormat="1" applyFont="1" applyFill="1" applyBorder="1" applyAlignment="1">
      <alignment horizontal="general" vertical="bottom"/>
    </xf>
    <xf numFmtId="0" fontId="6" fillId="0" borderId="17" xfId="0" applyNumberFormat="1" applyFont="1" applyFill="1" applyBorder="1" applyAlignment="1">
      <alignment horizontal="general" vertical="bottom"/>
    </xf>
    <xf numFmtId="164" fontId="6" fillId="0" borderId="1" xfId="0" applyNumberFormat="1" applyFont="1" applyFill="1" applyBorder="1" applyAlignment="1">
      <alignment horizontal="general" vertical="center"/>
    </xf>
    <xf numFmtId="164" fontId="6" fillId="0" borderId="16" xfId="0" applyNumberFormat="1" applyFont="1" applyFill="1" applyBorder="1" applyAlignment="1">
      <alignment horizontal="general" vertical="center"/>
    </xf>
    <xf numFmtId="0" fontId="6" fillId="2" borderId="0" xfId="0" applyNumberFormat="1" applyFont="1" applyFill="1" applyBorder="1" applyAlignment="1">
      <alignment horizontal="general" vertical="bottom"/>
    </xf>
    <xf numFmtId="2" fontId="6" fillId="0" borderId="0" xfId="0" applyNumberFormat="1" applyFont="1" applyFill="1" applyBorder="1" applyAlignment="1">
      <alignment horizontal="general" vertical="bottom"/>
    </xf>
    <xf numFmtId="165" fontId="6" fillId="0" borderId="0" xfId="0" applyNumberFormat="1" applyFont="1" applyFill="1" applyBorder="1" applyAlignment="1">
      <alignment horizontal="general" vertical="bottom"/>
    </xf>
    <xf numFmtId="8" fontId="6" fillId="0" borderId="0" xfId="0" applyNumberFormat="1" applyFont="1" applyFill="1" applyBorder="1" applyAlignment="1">
      <alignment horizontal="general" vertical="bottom"/>
    </xf>
    <xf numFmtId="0" fontId="6" fillId="0" borderId="1" xfId="0" applyNumberFormat="1" applyFont="1" applyFill="1" applyBorder="1" applyAlignment="1">
      <alignment horizontal="right" vertical="bottom"/>
    </xf>
    <xf numFmtId="0" fontId="0" fillId="0" borderId="1" xfId="0" applyNumberFormat="1" applyFont="1" applyFill="1" applyBorder="1" applyAlignment="1">
      <alignment horizontal="general" vertical="bottom"/>
    </xf>
    <xf numFmtId="0" fontId="0" fillId="2" borderId="1" xfId="0" applyNumberFormat="1" applyFont="1" applyFill="1" applyBorder="1" applyAlignment="1">
      <alignment horizontal="general" vertical="bottom"/>
    </xf>
    <xf numFmtId="164" fontId="6" fillId="2" borderId="1" xfId="0" applyNumberFormat="1" applyFont="1" applyFill="1" applyBorder="1" applyAlignment="1">
      <alignment horizontal="center" vertical="bottom"/>
    </xf>
    <xf numFmtId="0" fontId="6" fillId="2" borderId="1" xfId="0" applyNumberFormat="1" applyFont="1" applyFill="1" applyBorder="1" applyAlignment="1">
      <alignment horizontal="right" vertical="bottom"/>
    </xf>
    <xf numFmtId="164" fontId="6" fillId="8" borderId="1" xfId="0" applyNumberFormat="1" applyFont="1" applyFill="1" applyBorder="1" applyAlignment="1">
      <alignment horizontal="center" vertical="bottom"/>
    </xf>
    <xf numFmtId="164" fontId="6" fillId="3" borderId="1" xfId="0" applyNumberFormat="1" applyFont="1" applyFill="1" applyBorder="1" applyAlignment="1">
      <alignment horizontal="center" vertical="bottom"/>
    </xf>
    <xf numFmtId="164" fontId="6" fillId="3" borderId="3" xfId="0" applyNumberFormat="1" applyFont="1" applyFill="1" applyBorder="1" applyAlignment="1">
      <alignment horizontal="center" vertical="bottom"/>
    </xf>
    <xf numFmtId="164" fontId="6" fillId="3" borderId="2" xfId="0" applyNumberFormat="1" applyFont="1" applyFill="1" applyBorder="1" applyAlignment="1">
      <alignment horizontal="center" vertical="bottom"/>
    </xf>
    <xf numFmtId="0" fontId="0" fillId="0" borderId="2" xfId="0" applyNumberFormat="1" applyFont="1" applyFill="1" applyBorder="1" applyAlignment="1">
      <alignment horizontal="general" vertical="bottom"/>
    </xf>
    <xf numFmtId="164" fontId="6" fillId="2" borderId="15" xfId="0" applyNumberFormat="1" applyFont="1" applyFill="1" applyBorder="1" applyAlignment="1">
      <alignment horizontal="center" vertical="bottom"/>
    </xf>
    <xf numFmtId="164" fontId="6" fillId="8" borderId="16" xfId="0" applyNumberFormat="1" applyFont="1" applyFill="1" applyBorder="1" applyAlignment="1">
      <alignment horizontal="center" vertical="bottom"/>
    </xf>
    <xf numFmtId="164" fontId="6" fillId="2" borderId="16" xfId="0" applyNumberFormat="1" applyFont="1" applyFill="1" applyBorder="1" applyAlignment="1">
      <alignment horizontal="center" vertical="bottom"/>
    </xf>
    <xf numFmtId="0" fontId="6" fillId="2" borderId="16" xfId="0" applyNumberFormat="1" applyFont="1" applyFill="1" applyBorder="1" applyAlignment="1">
      <alignment horizontal="right" vertical="bottom"/>
    </xf>
    <xf numFmtId="0" fontId="0" fillId="2" borderId="17" xfId="0" applyNumberFormat="1" applyFont="1" applyFill="1" applyBorder="1" applyAlignment="1">
      <alignment horizontal="general" vertical="bottom"/>
    </xf>
    <xf numFmtId="0" fontId="6" fillId="0" borderId="15" xfId="0" applyNumberFormat="1" applyFont="1" applyFill="1" applyBorder="1" applyAlignment="1">
      <alignment horizontal="center" vertical="bottom"/>
    </xf>
    <xf numFmtId="0" fontId="6" fillId="0" borderId="16" xfId="0" applyNumberFormat="1" applyFont="1" applyFill="1" applyBorder="1" applyAlignment="1">
      <alignment horizontal="center" vertical="bottom"/>
    </xf>
    <xf numFmtId="0" fontId="6" fillId="0" borderId="17" xfId="0" applyNumberFormat="1" applyFont="1" applyFill="1" applyBorder="1" applyAlignment="1">
      <alignment horizontal="center" vertical="bottom"/>
    </xf>
    <xf numFmtId="8" fontId="6" fillId="0" borderId="0" xfId="0" applyNumberFormat="1" applyFont="1" applyFill="1" applyBorder="1" applyAlignment="1">
      <alignment horizontal="center" vertical="bottom"/>
    </xf>
    <xf numFmtId="40" fontId="6" fillId="0" borderId="1" xfId="0" applyNumberFormat="1" applyFont="1" applyFill="1" applyBorder="1" applyAlignment="1">
      <alignment horizontal="center" vertical="bottom"/>
    </xf>
    <xf numFmtId="40" fontId="6" fillId="0" borderId="16" xfId="0" applyNumberFormat="1" applyFont="1" applyFill="1" applyBorder="1" applyAlignment="1">
      <alignment horizontal="center" vertical="bottom"/>
    </xf>
    <xf numFmtId="164" fontId="10" fillId="0" borderId="21" xfId="0" applyNumberFormat="1" applyFont="1" applyFill="1" applyBorder="1" applyAlignment="1">
      <alignment horizontal="center" vertical="bottom"/>
    </xf>
    <xf numFmtId="0" fontId="14" fillId="0" borderId="22" xfId="0" applyNumberFormat="1" applyFont="1" applyFill="1" applyBorder="1" applyAlignment="1">
      <alignment horizontal="general" vertical="bottom"/>
    </xf>
    <xf numFmtId="0" fontId="15" fillId="0" borderId="9" xfId="0" applyNumberFormat="1" applyFont="1" applyFill="1" applyBorder="1" applyAlignment="1">
      <alignment horizontal="general" vertical="center"/>
    </xf>
    <xf numFmtId="0" fontId="8" fillId="2" borderId="1" xfId="0" applyNumberFormat="1" applyFont="1" applyFill="1" applyBorder="1" applyAlignment="1">
      <alignment horizontal="center" vertical="bottom"/>
    </xf>
    <xf numFmtId="164" fontId="10" fillId="0" borderId="23" xfId="0" applyNumberFormat="1" applyFont="1" applyFill="1" applyBorder="1" applyAlignment="1">
      <alignment horizontal="general" vertical="bottom"/>
    </xf>
    <xf numFmtId="164" fontId="10" fillId="0" borderId="3" xfId="0" applyNumberFormat="1" applyFont="1" applyFill="1" applyBorder="1" applyAlignment="1">
      <alignment horizontal="general" vertical="bottom"/>
    </xf>
    <xf numFmtId="164" fontId="10" fillId="0" borderId="2" xfId="0" applyNumberFormat="1" applyFont="1" applyFill="1" applyBorder="1" applyAlignment="1">
      <alignment horizontal="general" vertical="bottom"/>
    </xf>
    <xf numFmtId="164" fontId="10" fillId="2" borderId="15" xfId="0" applyNumberFormat="1" applyFont="1" applyFill="1" applyBorder="1" applyAlignment="1">
      <alignment horizontal="general" vertical="bottom"/>
    </xf>
    <xf numFmtId="164" fontId="6" fillId="2" borderId="16" xfId="0" applyNumberFormat="1" applyFont="1" applyFill="1" applyBorder="1" applyAlignment="1">
      <alignment horizontal="general" vertical="bottom"/>
    </xf>
    <xf numFmtId="164" fontId="10" fillId="2" borderId="17" xfId="0" applyNumberFormat="1" applyFont="1" applyFill="1" applyBorder="1" applyAlignment="1">
      <alignment horizontal="general" vertical="bottom"/>
    </xf>
    <xf numFmtId="0" fontId="8" fillId="2" borderId="24" xfId="0" applyNumberFormat="1" applyFont="1" applyFill="1" applyBorder="1" applyAlignment="1">
      <alignment horizontal="general" vertical="bottom"/>
    </xf>
    <xf numFmtId="0" fontId="6" fillId="2" borderId="2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general" vertical="bottom"/>
    </xf>
    <xf numFmtId="0" fontId="6" fillId="2" borderId="25" xfId="0" applyNumberFormat="1" applyFont="1" applyFill="1" applyBorder="1" applyAlignment="1">
      <alignment horizontal="general" vertical="bottom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right" vertical="bottom"/>
    </xf>
    <xf numFmtId="0" fontId="6" fillId="0" borderId="11" xfId="0" applyNumberFormat="1" applyFont="1" applyFill="1" applyBorder="1" applyAlignment="1">
      <alignment horizontal="right" vertical="bottom"/>
    </xf>
    <xf numFmtId="0" fontId="6" fillId="0" borderId="26" xfId="0" applyNumberFormat="1" applyFont="1" applyFill="1" applyBorder="1" applyAlignment="1">
      <alignment horizontal="right" vertical="bottom"/>
    </xf>
    <xf numFmtId="0" fontId="6" fillId="0" borderId="15" xfId="0" applyNumberFormat="1" applyFont="1" applyFill="1" applyBorder="1" applyAlignment="1">
      <alignment horizontal="right" vertical="bottom"/>
    </xf>
    <xf numFmtId="0" fontId="6" fillId="0" borderId="16" xfId="0" applyNumberFormat="1" applyFont="1" applyFill="1" applyBorder="1" applyAlignment="1">
      <alignment horizontal="right" vertical="bottom"/>
    </xf>
    <xf numFmtId="0" fontId="8" fillId="0" borderId="1" xfId="0" applyNumberFormat="1" applyFont="1" applyFill="1" applyBorder="1" applyAlignment="1">
      <alignment horizontal="center" vertical="bottom"/>
    </xf>
    <xf numFmtId="0" fontId="8" fillId="0" borderId="2" xfId="0" applyNumberFormat="1" applyFont="1" applyFill="1" applyBorder="1" applyAlignment="1">
      <alignment horizontal="center" vertical="bottom"/>
    </xf>
    <xf numFmtId="0" fontId="8" fillId="0" borderId="3" xfId="0" applyNumberFormat="1" applyFont="1" applyFill="1" applyBorder="1" applyAlignment="1">
      <alignment horizontal="center" vertical="bottom"/>
    </xf>
    <xf numFmtId="0" fontId="16" fillId="0" borderId="27" xfId="0" applyNumberFormat="1" applyFont="1" applyFill="1" applyBorder="1" applyAlignment="1">
      <alignment horizontal="center" vertical="bottom"/>
    </xf>
    <xf numFmtId="0" fontId="16" fillId="0" borderId="28" xfId="0" applyNumberFormat="1" applyFont="1" applyFill="1" applyBorder="1" applyAlignment="1">
      <alignment horizontal="center" vertical="bottom"/>
    </xf>
    <xf numFmtId="0" fontId="16" fillId="0" borderId="29" xfId="0" applyNumberFormat="1" applyFont="1" applyFill="1" applyBorder="1" applyAlignment="1">
      <alignment horizontal="center" vertical="bottom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right" vertical="bottom"/>
    </xf>
    <xf numFmtId="0" fontId="13" fillId="0" borderId="3" xfId="0" applyNumberFormat="1" applyFont="1" applyFill="1" applyBorder="1" applyAlignment="1">
      <alignment horizontal="center" vertical="bottom"/>
    </xf>
    <xf numFmtId="0" fontId="13" fillId="0" borderId="1" xfId="0" applyNumberFormat="1" applyFont="1" applyFill="1" applyBorder="1" applyAlignment="1">
      <alignment horizontal="center" vertical="bottom"/>
    </xf>
    <xf numFmtId="0" fontId="6" fillId="0" borderId="3" xfId="0" applyNumberFormat="1" applyFont="1" applyFill="1" applyBorder="1" applyAlignment="1">
      <alignment horizontal="right" vertical="bottom" wrapText="1"/>
    </xf>
    <xf numFmtId="0" fontId="6" fillId="0" borderId="1" xfId="0" applyNumberFormat="1" applyFont="1" applyFill="1" applyBorder="1" applyAlignment="1">
      <alignment horizontal="right" vertical="bottom" wrapText="1"/>
    </xf>
    <xf numFmtId="0" fontId="6" fillId="0" borderId="9" xfId="0" applyNumberFormat="1" applyFont="1" applyFill="1" applyBorder="1" applyAlignment="1">
      <alignment horizontal="right" vertical="bottom"/>
    </xf>
    <xf numFmtId="0" fontId="6" fillId="0" borderId="0" xfId="0" applyNumberFormat="1" applyFont="1" applyFill="1" applyBorder="1" applyAlignment="1">
      <alignment horizontal="right" vertical="bottom"/>
    </xf>
    <xf numFmtId="0" fontId="6" fillId="0" borderId="30" xfId="0" applyNumberFormat="1" applyFont="1" applyFill="1" applyBorder="1" applyAlignment="1">
      <alignment horizontal="right" vertical="bottom"/>
    </xf>
    <xf numFmtId="0" fontId="6" fillId="0" borderId="8" xfId="0" applyNumberFormat="1" applyFont="1" applyFill="1" applyBorder="1" applyAlignment="1">
      <alignment horizontal="right" vertical="bottom"/>
    </xf>
    <xf numFmtId="0" fontId="6" fillId="0" borderId="31" xfId="0" applyNumberFormat="1" applyFont="1" applyFill="1" applyBorder="1" applyAlignment="1">
      <alignment horizontal="right" vertical="bottom"/>
    </xf>
    <xf numFmtId="0" fontId="6" fillId="0" borderId="32" xfId="0" applyNumberFormat="1" applyFont="1" applyFill="1" applyBorder="1" applyAlignment="1">
      <alignment horizontal="right" vertical="bottom"/>
    </xf>
    <xf numFmtId="0" fontId="6" fillId="0" borderId="33" xfId="0" applyNumberFormat="1" applyFont="1" applyFill="1" applyBorder="1" applyAlignment="1">
      <alignment horizontal="right" vertical="top" wrapText="1"/>
    </xf>
    <xf numFmtId="0" fontId="6" fillId="0" borderId="31" xfId="0" applyNumberFormat="1" applyFont="1" applyFill="1" applyBorder="1" applyAlignment="1">
      <alignment horizontal="right" vertical="top" wrapText="1"/>
    </xf>
    <xf numFmtId="0" fontId="6" fillId="0" borderId="34" xfId="0" applyNumberFormat="1" applyFont="1" applyFill="1" applyBorder="1" applyAlignment="1">
      <alignment horizontal="right" vertical="top" wrapText="1"/>
    </xf>
    <xf numFmtId="0" fontId="6" fillId="0" borderId="4" xfId="0" applyNumberFormat="1" applyFont="1" applyFill="1" applyBorder="1" applyAlignment="1">
      <alignment horizontal="righ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6" fillId="0" borderId="35" xfId="0" applyNumberFormat="1" applyFont="1" applyFill="1" applyBorder="1" applyAlignment="1">
      <alignment horizontal="right" vertical="top" wrapText="1"/>
    </xf>
    <xf numFmtId="0" fontId="6" fillId="0" borderId="36" xfId="0" applyNumberFormat="1" applyFont="1" applyFill="1" applyBorder="1" applyAlignment="1">
      <alignment horizontal="right" vertical="top" wrapText="1"/>
    </xf>
    <xf numFmtId="0" fontId="6" fillId="0" borderId="11" xfId="0" applyNumberFormat="1" applyFont="1" applyFill="1" applyBorder="1" applyAlignment="1">
      <alignment horizontal="right" vertical="top" wrapText="1"/>
    </xf>
    <xf numFmtId="0" fontId="6" fillId="0" borderId="37" xfId="0" applyNumberFormat="1" applyFont="1" applyFill="1" applyBorder="1" applyAlignment="1">
      <alignment horizontal="right" vertical="top" wrapText="1"/>
    </xf>
    <xf numFmtId="0" fontId="6" fillId="0" borderId="38" xfId="0" applyNumberFormat="1" applyFont="1" applyFill="1" applyBorder="1" applyAlignment="1">
      <alignment horizontal="right" vertical="bottom"/>
    </xf>
    <xf numFmtId="0" fontId="6" fillId="0" borderId="39" xfId="0" applyNumberFormat="1" applyFont="1" applyFill="1" applyBorder="1" applyAlignment="1">
      <alignment horizontal="right" vertical="bottom"/>
    </xf>
    <xf numFmtId="0" fontId="6" fillId="0" borderId="40" xfId="0" applyNumberFormat="1" applyFont="1" applyFill="1" applyBorder="1" applyAlignment="1">
      <alignment horizontal="right" vertical="bottom"/>
    </xf>
    <xf numFmtId="0" fontId="16" fillId="0" borderId="11" xfId="0" applyNumberFormat="1" applyFont="1" applyFill="1" applyBorder="1" applyAlignment="1">
      <alignment horizontal="center" vertical="bottom"/>
    </xf>
    <xf numFmtId="164" fontId="6" fillId="0" borderId="31" xfId="0" applyNumberFormat="1" applyFont="1" applyFill="1" applyBorder="1" applyAlignment="1">
      <alignment horizontal="right" vertical="bottom"/>
    </xf>
    <xf numFmtId="164" fontId="6" fillId="0" borderId="34" xfId="0" applyNumberFormat="1" applyFont="1" applyFill="1" applyBorder="1" applyAlignment="1">
      <alignment horizontal="right" vertical="bottom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41" xfId="0" applyNumberFormat="1" applyFont="1" applyFill="1" applyBorder="1" applyAlignment="1">
      <alignment horizontal="center" vertical="bottom"/>
    </xf>
    <xf numFmtId="164" fontId="6" fillId="0" borderId="42" xfId="0" applyNumberFormat="1" applyFont="1" applyFill="1" applyBorder="1" applyAlignment="1">
      <alignment horizontal="center" vertical="bottom"/>
    </xf>
    <xf numFmtId="164" fontId="6" fillId="0" borderId="43" xfId="0" applyNumberFormat="1" applyFont="1" applyFill="1" applyBorder="1" applyAlignment="1">
      <alignment horizontal="center" vertical="bottom"/>
    </xf>
    <xf numFmtId="164" fontId="6" fillId="0" borderId="11" xfId="0" applyNumberFormat="1" applyFont="1" applyFill="1" applyBorder="1" applyAlignment="1">
      <alignment horizontal="center" vertical="bottom"/>
    </xf>
    <xf numFmtId="0" fontId="16" fillId="0" borderId="41" xfId="0" applyNumberFormat="1" applyFont="1" applyFill="1" applyBorder="1" applyAlignment="1">
      <alignment horizontal="center" vertical="bottom"/>
    </xf>
    <xf numFmtId="0" fontId="16" fillId="0" borderId="42" xfId="0" applyNumberFormat="1" applyFont="1" applyFill="1" applyBorder="1" applyAlignment="1">
      <alignment horizontal="center" vertical="bottom"/>
    </xf>
    <xf numFmtId="0" fontId="16" fillId="0" borderId="43" xfId="0" applyNumberFormat="1" applyFont="1" applyFill="1" applyBorder="1" applyAlignment="1">
      <alignment horizontal="center" vertical="bottom"/>
    </xf>
    <xf numFmtId="0" fontId="13" fillId="2" borderId="1" xfId="0" applyNumberFormat="1" applyFont="1" applyFill="1" applyBorder="1" applyAlignment="1">
      <alignment horizontal="center" vertical="bottom"/>
    </xf>
    <xf numFmtId="0" fontId="6" fillId="0" borderId="44" xfId="0" applyNumberFormat="1" applyFont="1" applyFill="1" applyBorder="1" applyAlignment="1">
      <alignment horizontal="right" vertical="bottom"/>
    </xf>
    <xf numFmtId="0" fontId="6" fillId="0" borderId="45" xfId="0" applyNumberFormat="1" applyFont="1" applyFill="1" applyBorder="1" applyAlignment="1">
      <alignment horizontal="right" vertical="bottom"/>
    </xf>
    <xf numFmtId="0" fontId="6" fillId="0" borderId="18" xfId="0" applyNumberFormat="1" applyFont="1" applyFill="1" applyBorder="1" applyAlignment="1">
      <alignment horizontal="center" vertical="top"/>
    </xf>
    <xf numFmtId="0" fontId="6" fillId="0" borderId="19" xfId="0" applyNumberFormat="1" applyFont="1" applyFill="1" applyBorder="1" applyAlignment="1">
      <alignment horizontal="center" vertical="top"/>
    </xf>
    <xf numFmtId="0" fontId="0" fillId="0" borderId="11" xfId="0" applyNumberFormat="1" applyFont="1" applyFill="1" applyBorder="1" applyAlignment="1">
      <alignment horizontal="center" vertical="bottom"/>
    </xf>
    <xf numFmtId="0" fontId="16" fillId="0" borderId="46" xfId="0" applyNumberFormat="1" applyFont="1" applyFill="1" applyBorder="1" applyAlignment="1">
      <alignment horizontal="center" vertical="bottom"/>
    </xf>
    <xf numFmtId="0" fontId="16" fillId="0" borderId="47" xfId="0" applyNumberFormat="1" applyFont="1" applyFill="1" applyBorder="1" applyAlignment="1">
      <alignment horizontal="center" vertical="bottom"/>
    </xf>
    <xf numFmtId="0" fontId="16" fillId="0" borderId="48" xfId="0" applyNumberFormat="1" applyFont="1" applyFill="1" applyBorder="1" applyAlignment="1">
      <alignment horizontal="center" vertical="bottom"/>
    </xf>
    <xf numFmtId="0" fontId="16" fillId="0" borderId="1" xfId="0" applyNumberFormat="1" applyFont="1" applyFill="1" applyBorder="1" applyAlignment="1">
      <alignment horizontal="center" vertical="bottom"/>
    </xf>
    <xf numFmtId="0" fontId="6" fillId="0" borderId="46" xfId="0" applyNumberFormat="1" applyFont="1" applyFill="1" applyBorder="1" applyAlignment="1">
      <alignment horizontal="center" vertical="bottom"/>
    </xf>
    <xf numFmtId="0" fontId="6" fillId="0" borderId="47" xfId="0" applyNumberFormat="1" applyFont="1" applyFill="1" applyBorder="1" applyAlignment="1">
      <alignment horizontal="center" vertical="bottom"/>
    </xf>
    <xf numFmtId="0" fontId="6" fillId="0" borderId="48" xfId="0" applyNumberFormat="1" applyFont="1" applyFill="1" applyBorder="1" applyAlignment="1">
      <alignment horizontal="center" vertical="bottom"/>
    </xf>
    <xf numFmtId="0" fontId="0" fillId="0" borderId="1" xfId="0" applyNumberFormat="1" applyFont="1" applyFill="1" applyBorder="1" applyAlignment="1">
      <alignment horizontal="center" vertical="bottom"/>
    </xf>
    <xf numFmtId="0" fontId="6" fillId="0" borderId="11" xfId="0" applyNumberFormat="1" applyFont="1" applyFill="1" applyBorder="1" applyAlignment="1">
      <alignment horizontal="center" vertical="bottom"/>
    </xf>
    <xf numFmtId="0" fontId="8" fillId="2" borderId="46" xfId="0" applyNumberFormat="1" applyFont="1" applyFill="1" applyBorder="1" applyAlignment="1">
      <alignment horizontal="center" vertical="bottom"/>
    </xf>
    <xf numFmtId="0" fontId="8" fillId="2" borderId="47" xfId="0" applyNumberFormat="1" applyFont="1" applyFill="1" applyBorder="1" applyAlignment="1">
      <alignment horizontal="center" vertical="bottom"/>
    </xf>
    <xf numFmtId="0" fontId="8" fillId="2" borderId="48" xfId="0" applyNumberFormat="1" applyFont="1" applyFill="1" applyBorder="1" applyAlignment="1">
      <alignment horizontal="center" vertical="bottom"/>
    </xf>
    <xf numFmtId="0" fontId="17" fillId="0" borderId="18" xfId="0" applyNumberFormat="1" applyFont="1" applyFill="1" applyBorder="1" applyAlignment="1">
      <alignment horizontal="center" vertical="bottom"/>
    </xf>
    <xf numFmtId="0" fontId="6" fillId="2" borderId="24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general" vertical="bottom"/>
    </xf>
  </cellXfs>
  <cellStyles count="1">
    <cellStyle name="Normal" xfId="0" builtinId="0"/>
  </cellStyles>
  <tableStyles defaultTableStyle="TableStyleMedium9" defaultPivotStyle="PivotStyleLight16"/>
</styleSheet>
</file>

<file path=xl/_rels/workbook.xml.rels><?xml version="1.0" encoding="UTF-8" standalone="yes"?><Relationships xmlns="http://schemas.openxmlformats.org/package/2006/relationships" ><Relationship Id="rId1" Type="http://schemas.openxmlformats.org/officeDocument/2006/relationships/styles" Target="styles.xml" /><Relationship Id="rId2" Type="http://schemas.openxmlformats.org/officeDocument/2006/relationships/sharedStrings" Target="sharedString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Relationship Id="rId8" Type="http://schemas.openxmlformats.org/officeDocument/2006/relationships/worksheet" Target="worksheets/sheet5.xml" /><Relationship Id="rId9" Type="http://schemas.openxmlformats.org/officeDocument/2006/relationships/worksheet" Target="worksheets/sheet6.xml" /><Relationship Id="rId10" Type="http://schemas.openxmlformats.org/officeDocument/2006/relationships/worksheet" Target="worksheets/sheet7.xml" /><Relationship Id="rId11" Type="http://schemas.openxmlformats.org/officeDocument/2006/relationships/worksheet" Target="worksheets/sheet8.xml" /><Relationship Id="rId12" Type="http://schemas.openxmlformats.org/officeDocument/2006/relationships/worksheet" Target="worksheets/sheet9.xml" /><Relationship Id="rId13" Type="http://schemas.openxmlformats.org/officeDocument/2006/relationships/worksheet" Target="worksheets/sheet10.xml" /><Relationship Id="rId14" Type="http://schemas.openxmlformats.org/officeDocument/2006/relationships/worksheet" Target="worksheets/sheet11.xml" /><Relationship Id="rId15" Type="http://schemas.openxmlformats.org/officeDocument/2006/relationships/worksheet" Target="worksheets/sheet12.xml" /><Relationship Id="rId16" Type="http://schemas.openxmlformats.org/officeDocument/2006/relationships/worksheet" Target="worksheets/sheet13.xml" /><Relationship Id="rId17" Type="http://schemas.openxmlformats.org/officeDocument/2006/relationships/worksheet" Target="worksheets/sheet14.xml" /><Relationship Id="rId18" Type="http://schemas.openxmlformats.org/officeDocument/2006/relationships/worksheet" Target="worksheets/sheet15.xml" /><Relationship Id="rId19" Type="http://schemas.openxmlformats.org/officeDocument/2006/relationships/worksheet" Target="worksheets/sheet16.xml" /><Relationship Id="rId20" Type="http://schemas.openxmlformats.org/officeDocument/2006/relationships/worksheet" Target="worksheets/sheet17.xml" /><Relationship Id="rId21" Type="http://schemas.openxmlformats.org/officeDocument/2006/relationships/worksheet" Target="worksheets/sheet18.xml" /><Relationship Id="rId22" Type="http://schemas.openxmlformats.org/officeDocument/2006/relationships/worksheet" Target="worksheets/sheet19.xml" /><Relationship Id="rId23" Type="http://schemas.openxmlformats.org/officeDocument/2006/relationships/worksheet" Target="worksheets/sheet20.xml" /><Relationship Id="rId24" Type="http://schemas.openxmlformats.org/officeDocument/2006/relationships/worksheet" Target="worksheets/sheet21.xml" /><Relationship Id="rId25" Type="http://schemas.openxmlformats.org/officeDocument/2006/relationships/worksheet" Target="worksheets/sheet2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<Relationships xmlns="http://schemas.openxmlformats.org/package/2006/relationships" ><Relationship Id="rId1" Type="http://schemas.openxmlformats.org/officeDocument/2006/relationships/vmlDrawing" Target="../drawings/vmlDrawing16.vml" /><Relationship Id="rId2" Type="http://schemas.openxmlformats.org/officeDocument/2006/relationships/comments" Target="../comments16.xml" /></Relationships>
</file>

<file path=xl/worksheets/_rels/sheet22.xml.rels><?xml version="1.0" encoding="UTF-8" standalone="yes"?><Relationships xmlns="http://schemas.openxmlformats.org/package/2006/relationships" ><Relationship Id="rId1" Type="http://schemas.openxmlformats.org/officeDocument/2006/relationships/vmlDrawing" Target="../drawings/vmlDrawing22.vml" /><Relationship Id="rId2" Type="http://schemas.openxmlformats.org/officeDocument/2006/relationships/comments" Target="../comments22.xml" /></Relationships>
</file>

<file path=xl/worksheets/_rels/sheet9.xml.rels><?xml version="1.0" encoding="UTF-8" standalone="yes"?><Relationships xmlns="http://schemas.openxmlformats.org/package/2006/relationships" ><Relationship Id="rId1" Type="http://schemas.openxmlformats.org/officeDocument/2006/relationships/vmlDrawing" Target="../drawings/vmlDrawing9.vml" /><Relationship Id="rId2" Type="http://schemas.openxmlformats.org/officeDocument/2006/relationships/comments" Target="../comments9.xml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showGridLines="1" tabSelected="1" workbookViewId="0" topLeftCell="A4">
      <selection activeCell="A1" sqref="A1"/>
    </sheetView>
  </sheetViews>
  <sheetFormatPr defaultRowHeight="15"/>
  <cols>
    <col min="1" max="3" width="10.26953125" style="24" customWidth="1"/>
    <col min="4" max="4" width="3.0" style="24" customWidth="1"/>
    <col min="5" max="7" width="10.26953125" style="24" customWidth="1"/>
    <col min="8" max="8" width="7.36328125" style="24" customWidth="1"/>
    <col min="9" max="9" width="3.90625" style="24" customWidth="1"/>
    <col min="10" max="256" width="10.26953125" style="24" customWidth="1"/>
  </cols>
  <sheetData>
    <row r="1" spans="1:9" ht="28.5" customHeight="1">
      <c r="A1" s="151" t="s">
        <v>0</v>
      </c>
      <c r="B1" s="152"/>
      <c r="C1" s="152"/>
      <c r="D1" s="152"/>
      <c r="E1" s="152"/>
      <c r="F1" s="152"/>
      <c r="G1" s="152"/>
      <c r="H1" s="152"/>
      <c r="I1" s="153"/>
    </row>
    <row r="2" spans="1:9" ht="24.0" customHeight="1">
      <c r="A2" s="150" t="s">
        <v>1</v>
      </c>
      <c r="B2" s="148"/>
      <c r="C2" s="148"/>
      <c r="D2" s="148"/>
      <c r="E2" s="148" t="s">
        <v>2</v>
      </c>
      <c r="F2" s="148"/>
      <c r="G2" s="148"/>
      <c r="H2" s="148"/>
      <c r="I2" s="149"/>
    </row>
    <row r="3" spans="1:9" ht="46.5" customHeight="1">
      <c r="A3" s="159" t="s">
        <v>3</v>
      </c>
      <c r="B3" s="160"/>
      <c r="C3" s="160"/>
      <c r="D3" s="160"/>
      <c r="E3" s="73" t="s">
        <v>4</v>
      </c>
      <c r="F3" s="73" t="s">
        <v>5</v>
      </c>
      <c r="G3" s="73" t="s">
        <v>6</v>
      </c>
      <c r="H3" s="154" t="s">
        <v>7</v>
      </c>
      <c r="I3" s="155"/>
    </row>
    <row r="4" spans="1:9">
      <c r="A4" s="157" t="s">
        <v>8</v>
      </c>
      <c r="B4" s="158"/>
      <c r="C4" s="158"/>
      <c r="D4" s="158"/>
      <c r="E4" s="74"/>
      <c r="F4" s="74"/>
      <c r="G4" s="74"/>
      <c r="H4" s="25" t="s">
        <v>9</v>
      </c>
      <c r="I4" s="26" t="s">
        <v>10</v>
      </c>
    </row>
    <row r="5" spans="1:9">
      <c r="A5" s="156" t="s">
        <v>11</v>
      </c>
      <c r="B5" s="103"/>
      <c r="C5" s="103"/>
      <c r="D5" s="103"/>
      <c r="E5" s="75" t="s">
        <v>12</v>
      </c>
      <c r="F5" s="75" t="s">
        <v>13</v>
      </c>
      <c r="G5" s="75" t="s">
        <v>14</v>
      </c>
      <c r="H5" s="25"/>
      <c r="I5" s="26"/>
    </row>
    <row r="6" spans="1:9">
      <c r="A6" s="27" t="s">
        <v>15</v>
      </c>
      <c r="B6" s="25"/>
      <c r="C6" s="25"/>
      <c r="D6" s="25"/>
      <c r="E6" s="103" t="s">
        <v>16</v>
      </c>
      <c r="F6" s="103"/>
      <c r="G6" s="103" t="s">
        <v>17</v>
      </c>
      <c r="H6" s="103"/>
      <c r="I6" s="63"/>
    </row>
    <row r="7" spans="1:9">
      <c r="A7" s="167" t="s">
        <v>18</v>
      </c>
      <c r="B7" s="168"/>
      <c r="C7" s="168"/>
      <c r="D7" s="169"/>
      <c r="E7" s="164" t="s">
        <v>19</v>
      </c>
      <c r="F7" s="165"/>
      <c r="G7" s="165"/>
      <c r="H7" s="165"/>
      <c r="I7" s="166"/>
    </row>
    <row r="8" spans="1:9">
      <c r="A8" s="170"/>
      <c r="B8" s="171"/>
      <c r="C8" s="171"/>
      <c r="D8" s="172"/>
      <c r="E8" s="161" t="s">
        <v>20</v>
      </c>
      <c r="F8" s="162"/>
      <c r="G8" s="162"/>
      <c r="H8" s="162"/>
      <c r="I8" s="163"/>
    </row>
    <row r="9" spans="1:9">
      <c r="A9" s="170"/>
      <c r="B9" s="171"/>
      <c r="C9" s="171"/>
      <c r="D9" s="172"/>
      <c r="E9" s="161" t="s">
        <v>21</v>
      </c>
      <c r="F9" s="162"/>
      <c r="G9" s="162"/>
      <c r="H9" s="162"/>
      <c r="I9" s="163"/>
    </row>
    <row r="10" spans="1:9">
      <c r="A10" s="173"/>
      <c r="B10" s="174"/>
      <c r="C10" s="174"/>
      <c r="D10" s="175"/>
      <c r="E10" s="143" t="s">
        <v>22</v>
      </c>
      <c r="F10" s="144"/>
      <c r="G10" s="144"/>
      <c r="H10" s="144"/>
      <c r="I10" s="145"/>
    </row>
    <row r="11" spans="1:9">
      <c r="A11" s="142" t="s">
        <v>23</v>
      </c>
      <c r="B11" s="25" t="s">
        <v>24</v>
      </c>
      <c r="C11" s="25"/>
      <c r="D11" s="25"/>
      <c r="E11" s="141" t="s">
        <v>25</v>
      </c>
      <c r="F11" s="141" t="s">
        <v>26</v>
      </c>
      <c r="G11" s="141"/>
      <c r="H11" s="25" t="s">
        <v>27</v>
      </c>
      <c r="I11" s="26"/>
    </row>
    <row r="12" spans="1:9">
      <c r="A12" s="142"/>
      <c r="B12" s="25" t="s">
        <v>28</v>
      </c>
      <c r="C12" s="25" t="s">
        <v>29</v>
      </c>
      <c r="D12" s="25" t="s">
        <v>30</v>
      </c>
      <c r="E12" s="141"/>
      <c r="F12" s="141"/>
      <c r="G12" s="141"/>
      <c r="H12" s="25" t="s">
        <v>31</v>
      </c>
      <c r="I12" s="26" t="s">
        <v>32</v>
      </c>
    </row>
    <row r="13" spans="1:9">
      <c r="A13" s="29"/>
      <c r="B13" s="28"/>
      <c r="C13" s="28"/>
      <c r="D13" s="25"/>
      <c r="E13" s="31">
        <v>4250000.0</v>
      </c>
      <c r="F13" s="30" t="s">
        <v>33</v>
      </c>
      <c r="G13" s="30"/>
      <c r="H13" s="30" t="s">
        <v>34</v>
      </c>
      <c r="I13" s="32">
        <v>382.0</v>
      </c>
    </row>
    <row r="14" spans="1:9">
      <c r="A14" s="29"/>
      <c r="B14" s="28"/>
      <c r="C14" s="28"/>
      <c r="D14" s="25"/>
      <c r="E14" s="28"/>
      <c r="F14" s="25"/>
      <c r="G14" s="25"/>
      <c r="H14" s="25"/>
      <c r="I14" s="26"/>
    </row>
    <row r="15" spans="1:9">
      <c r="A15" s="29"/>
      <c r="B15" s="28"/>
      <c r="C15" s="28"/>
      <c r="D15" s="25"/>
      <c r="E15" s="28"/>
      <c r="F15" s="25"/>
      <c r="G15" s="25"/>
      <c r="H15" s="25"/>
      <c r="I15" s="26"/>
    </row>
    <row r="16" spans="1:9">
      <c r="A16" s="29"/>
      <c r="B16" s="28"/>
      <c r="C16" s="28"/>
      <c r="D16" s="25"/>
      <c r="E16" s="28"/>
      <c r="F16" s="25"/>
      <c r="G16" s="25"/>
      <c r="H16" s="25"/>
      <c r="I16" s="26"/>
    </row>
    <row r="17" spans="1:9">
      <c r="A17" s="29"/>
      <c r="B17" s="28"/>
      <c r="C17" s="28"/>
      <c r="D17" s="25"/>
      <c r="E17" s="28"/>
      <c r="F17" s="25"/>
      <c r="G17" s="25"/>
      <c r="H17" s="25"/>
      <c r="I17" s="26"/>
    </row>
    <row r="18" spans="1:9">
      <c r="A18" s="29"/>
      <c r="B18" s="28"/>
      <c r="C18" s="28"/>
      <c r="D18" s="25"/>
      <c r="E18" s="28"/>
      <c r="F18" s="176" t="s">
        <v>35</v>
      </c>
      <c r="G18" s="177"/>
      <c r="H18" s="177"/>
      <c r="I18" s="178"/>
    </row>
    <row r="19" spans="1:9" ht="23.25" customHeight="1">
      <c r="A19" s="146" t="s">
        <v>36</v>
      </c>
      <c r="B19" s="147"/>
      <c r="C19" s="147"/>
      <c r="D19" s="147"/>
      <c r="E19" s="147"/>
      <c r="F19" s="147"/>
      <c r="G19" s="147"/>
      <c r="H19" s="147"/>
      <c r="I19" s="64"/>
    </row>
  </sheetData>
  <mergeCells count="27">
    <mergeCell ref="F14:G14"/>
    <mergeCell ref="F15:G15"/>
    <mergeCell ref="F16:G16"/>
    <mergeCell ref="F17:G17"/>
    <mergeCell ref="F18:I18"/>
    <mergeCell ref="A19:I19"/>
    <mergeCell ref="E2:I2"/>
    <mergeCell ref="A2:D2"/>
    <mergeCell ref="A1:I1"/>
    <mergeCell ref="F11:G12"/>
    <mergeCell ref="F13:G13"/>
    <mergeCell ref="H3:I3"/>
    <mergeCell ref="A5:D5"/>
    <mergeCell ref="A4:D4"/>
    <mergeCell ref="E6:F6"/>
    <mergeCell ref="G6:I6"/>
    <mergeCell ref="A3:D3"/>
    <mergeCell ref="E9:I9"/>
    <mergeCell ref="E8:I8"/>
    <mergeCell ref="E7:I7"/>
    <mergeCell ref="A7:D10"/>
    <mergeCell ref="A6:D6"/>
    <mergeCell ref="H11:I11"/>
    <mergeCell ref="B11:D11"/>
    <mergeCell ref="E11:E12"/>
    <mergeCell ref="A11:A12"/>
    <mergeCell ref="E10:I10"/>
  </mergeCells>
</worksheet>
</file>

<file path=xl/worksheets/sheet10.xml><?xml version="1.0" encoding="utf-8"?>
<worksheet xmlns="http://schemas.openxmlformats.org/spreadsheetml/2006/main" xmlns:r="http://schemas.openxmlformats.org/officeDocument/2006/relationships">
  <dimension ref="A1:G25"/>
  <sheetViews>
    <sheetView showGridLines="1" workbookViewId="0" topLeftCell="A1">
      <selection activeCell="A1" sqref="A1"/>
    </sheetView>
  </sheetViews>
  <sheetFormatPr defaultRowHeight="15"/>
  <cols>
    <col min="1" max="1" width="10.81640625" customWidth="1"/>
    <col min="2" max="2" width="10.54296875" customWidth="1"/>
    <col min="3" max="3" width="9.81640625" customWidth="1"/>
    <col min="4" max="4" width="20.90625" customWidth="1"/>
    <col min="5" max="5" width="9.81640625" customWidth="1"/>
    <col min="7" max="7" width="9.81640625" customWidth="1"/>
  </cols>
  <sheetData>
    <row r="1" spans="1:7" ht="28.5" customHeight="1">
      <c r="A1" s="187" t="s">
        <v>137</v>
      </c>
      <c r="B1" s="188"/>
      <c r="C1" s="188"/>
      <c r="D1" s="188"/>
      <c r="E1" s="188"/>
      <c r="F1" s="189"/>
    </row>
    <row r="2" spans="1:7" ht="22.5" customHeight="1">
      <c r="A2" s="29" t="s">
        <v>23</v>
      </c>
      <c r="B2" s="28" t="s">
        <v>28</v>
      </c>
      <c r="C2" s="28" t="s">
        <v>38</v>
      </c>
      <c r="D2" s="28" t="s">
        <v>39</v>
      </c>
      <c r="E2" s="28" t="s">
        <v>25</v>
      </c>
      <c r="F2" s="60" t="s">
        <v>30</v>
      </c>
    </row>
    <row r="3" spans="1:7" ht="22.5" customHeight="1">
      <c r="A3" s="29">
        <f>E3-B3</f>
        <v>3.3575E8</v>
      </c>
      <c r="B3" s="28">
        <f>C3</f>
        <v>4250000.0</v>
      </c>
      <c r="C3" s="28">
        <f>E3*15%*1/12</f>
        <v>4250000.0</v>
      </c>
      <c r="D3" s="25" t="s">
        <v>143</v>
      </c>
      <c r="E3" s="28">
        <v>3.4E8</v>
      </c>
      <c r="F3" s="63">
        <v>1389.0</v>
      </c>
    </row>
    <row r="4" spans="1:7" ht="22.5" customHeight="1">
      <c r="A4" s="29">
        <f>$E$3-B4</f>
        <v>2.853875E8</v>
      </c>
      <c r="B4" s="28">
        <f>B3+C4</f>
        <v>5.46125E7</v>
      </c>
      <c r="C4" s="28">
        <f>A3*15%</f>
        <v>5.03625E7</v>
      </c>
      <c r="D4" s="25"/>
      <c r="E4" s="28">
        <v>3.4E8</v>
      </c>
      <c r="F4" s="63">
        <v>1390.0</v>
      </c>
      <c r="G4" s="34"/>
    </row>
    <row r="5" spans="1:7" ht="22.5" customHeight="1">
      <c r="A5" s="29">
        <f>$E$3-B5</f>
        <v>2.42579375E8</v>
      </c>
      <c r="B5" s="28">
        <f>B4+C5</f>
        <v>9.7420625E7</v>
      </c>
      <c r="C5" s="28">
        <f>A4*15%</f>
        <v>4.2808125E7</v>
      </c>
      <c r="D5" s="25"/>
      <c r="E5" s="28">
        <v>3.4E8</v>
      </c>
      <c r="F5" s="63">
        <v>1391.0</v>
      </c>
    </row>
    <row r="6" spans="1:7" ht="22.5" customHeight="1">
      <c r="A6" s="29">
        <f>$E$3-B6</f>
        <v>2.0619246875E8</v>
      </c>
      <c r="B6" s="28">
        <f>B5+C6</f>
        <v>1.3380753125E8</v>
      </c>
      <c r="C6" s="28">
        <f>A5*15%</f>
        <v>3.638690625E7</v>
      </c>
      <c r="D6" s="25"/>
      <c r="E6" s="28">
        <v>3.4E8</v>
      </c>
      <c r="F6" s="63">
        <v>1392.0</v>
      </c>
    </row>
    <row r="7" spans="1:7" ht="22.5" customHeight="1">
      <c r="A7" s="29">
        <f>$E$3-B7</f>
        <v>1.752635984375E8</v>
      </c>
      <c r="B7" s="28">
        <f>B6+C7</f>
        <v>1.647364015625E8</v>
      </c>
      <c r="C7" s="28">
        <f>A6*15%</f>
        <v>3.09288703125E7</v>
      </c>
      <c r="D7" s="25"/>
      <c r="E7" s="28">
        <v>3.4E8</v>
      </c>
      <c r="F7" s="63">
        <v>1393.0</v>
      </c>
    </row>
    <row r="8" spans="1:7" ht="22.5" customHeight="1">
      <c r="A8" s="29">
        <f>$E$3-B8</f>
        <v>1.48974058671875E8</v>
      </c>
      <c r="B8" s="28">
        <f>B7+C8</f>
        <v>1.91025941328125E8</v>
      </c>
      <c r="C8" s="28">
        <f>A7*15%</f>
        <v>2.6289539765625E7</v>
      </c>
      <c r="E8" s="28">
        <v>3.4E8</v>
      </c>
      <c r="F8" s="63">
        <v>1394.0</v>
      </c>
    </row>
    <row r="9" spans="1:7" ht="22.5" customHeight="1">
      <c r="A9" s="29">
        <f>$E$3-B9</f>
        <v>1.2662794987109375E8</v>
      </c>
      <c r="B9" s="28">
        <f>B8+C9</f>
        <v>2.1337205012890625E8</v>
      </c>
      <c r="C9" s="28">
        <f>A8*15%</f>
        <v>2.234610880078125E7</v>
      </c>
      <c r="E9" s="28">
        <v>3.4E8</v>
      </c>
      <c r="F9" s="63">
        <v>1395.0</v>
      </c>
    </row>
    <row r="10" spans="1:7" ht="22.5" customHeight="1">
      <c r="A10" s="29">
        <f>$E$3-B10</f>
        <v>1.0763375739042968E8</v>
      </c>
      <c r="B10" s="28">
        <f>B9+C10</f>
        <v>2.3236624260957032E8</v>
      </c>
      <c r="C10" s="28">
        <f>A9*15%</f>
        <v>1.8994192480664063E7</v>
      </c>
      <c r="E10" s="28">
        <v>3.4E8</v>
      </c>
      <c r="F10" s="63">
        <v>1396.0</v>
      </c>
    </row>
    <row r="11" spans="1:7" ht="22.5" customHeight="1">
      <c r="A11" s="29">
        <f>$E$3-B11</f>
        <v>9.148869378186524E7</v>
      </c>
      <c r="B11" s="28">
        <f>B10+C11</f>
        <v>2.4851130621813476E8</v>
      </c>
      <c r="C11" s="28">
        <f>A10*15%</f>
        <v>1.6145063608564451E7</v>
      </c>
      <c r="E11" s="28">
        <v>3.4E8</v>
      </c>
      <c r="F11" s="63">
        <v>1397.0</v>
      </c>
    </row>
    <row r="12" spans="1:7" ht="22.5" customHeight="1">
      <c r="A12" s="29">
        <f>$E$3-B12</f>
        <v>7.776538971458545E7</v>
      </c>
      <c r="B12" s="28">
        <f>B11+C12</f>
        <v>2.6223461028541455E8</v>
      </c>
      <c r="C12" s="28">
        <f>A11*15%</f>
        <v>1.3723304067279786E7</v>
      </c>
      <c r="E12" s="28">
        <v>3.4E8</v>
      </c>
      <c r="F12" s="63">
        <v>1398.0</v>
      </c>
    </row>
    <row r="13" spans="1:7" ht="22.5" customHeight="1">
      <c r="A13" s="29">
        <f>$E$3-B13</f>
        <v>6.610058125739765E7</v>
      </c>
      <c r="B13" s="28">
        <f>B12+C13</f>
        <v>2.7389941874260235E8</v>
      </c>
      <c r="C13" s="28">
        <f>A12*15%</f>
        <v>1.1664808457187818E7</v>
      </c>
      <c r="E13" s="28">
        <v>3.4E8</v>
      </c>
      <c r="F13" s="63">
        <v>1399.0</v>
      </c>
    </row>
    <row r="14" spans="1:7" ht="22.5" customHeight="1">
      <c r="A14" s="29">
        <f>$E$3-B14</f>
        <v>5.618549406878799E7</v>
      </c>
      <c r="B14" s="28">
        <f>B13+C14</f>
        <v>2.83814505931212E8</v>
      </c>
      <c r="C14" s="28">
        <f>A13*15%</f>
        <v>9915087.188609647</v>
      </c>
      <c r="E14" s="28">
        <v>3.4E8</v>
      </c>
      <c r="F14" s="63">
        <v>1400.0</v>
      </c>
    </row>
    <row r="15" spans="1:7" ht="22.5" customHeight="1">
      <c r="A15" s="29">
        <f>$E$3-B15</f>
        <v>4.775766995846981E7</v>
      </c>
      <c r="B15" s="28">
        <f>B14+C15</f>
        <v>2.922423300415302E8</v>
      </c>
      <c r="C15" s="28">
        <f>A14*15%</f>
        <v>8427824.110318199</v>
      </c>
      <c r="E15" s="28">
        <v>3.4E8</v>
      </c>
      <c r="F15" s="63">
        <v>1401.0</v>
      </c>
    </row>
    <row r="16" spans="1:7" ht="22.5" customHeight="1">
      <c r="A16" s="29">
        <f>$E$3-B16</f>
        <v>4.059401946469933E7</v>
      </c>
      <c r="B16" s="28">
        <f>B15+C16</f>
        <v>2.994059805353007E8</v>
      </c>
      <c r="C16" s="28">
        <f>A15*15%</f>
        <v>7163650.493770471</v>
      </c>
      <c r="E16" s="28">
        <v>3.4E8</v>
      </c>
      <c r="F16" s="63">
        <v>1402.0</v>
      </c>
    </row>
    <row r="17" spans="1:7" ht="22.5" customHeight="1">
      <c r="A17" s="29">
        <f>$E$3-B17</f>
        <v>3.4504916544994414E7</v>
      </c>
      <c r="B17" s="28">
        <f>B16+C17</f>
        <v>3.054950834550056E8</v>
      </c>
      <c r="C17" s="28">
        <f>A16*15%</f>
        <v>6089102.919704899</v>
      </c>
      <c r="E17" s="28">
        <v>3.4E8</v>
      </c>
      <c r="F17" s="63">
        <v>1403.0</v>
      </c>
    </row>
    <row r="18" spans="1:7" ht="22.5" customHeight="1">
      <c r="A18" s="29">
        <f>$E$3-B18</f>
        <v>2.9329179063245237E7</v>
      </c>
      <c r="B18" s="28">
        <f>B17+C18</f>
        <v>3.1067082093675476E8</v>
      </c>
      <c r="C18" s="28">
        <f>A17*15%</f>
        <v>5175737.481749162</v>
      </c>
      <c r="E18" s="28">
        <v>3.4E8</v>
      </c>
      <c r="F18" s="63">
        <v>1404.0</v>
      </c>
    </row>
    <row r="19" spans="1:7" ht="22.5" customHeight="1">
      <c r="A19" s="29">
        <f>$E$3-B19</f>
        <v>2.492980220375848E7</v>
      </c>
      <c r="B19" s="28">
        <f>B18+C19</f>
        <v>3.150701977962415E8</v>
      </c>
      <c r="C19" s="28">
        <f>A18*15%</f>
        <v>4399376.859486786</v>
      </c>
      <c r="E19" s="28">
        <v>3.4E8</v>
      </c>
      <c r="F19" s="63">
        <v>1405.0</v>
      </c>
    </row>
    <row r="20" spans="1:7" ht="22.5" customHeight="1">
      <c r="A20" s="29">
        <f>$E$3-B20</f>
        <v>2.1190331873194695E7</v>
      </c>
      <c r="B20" s="28">
        <f>B19+C20</f>
        <v>3.188096681268053E8</v>
      </c>
      <c r="C20" s="28">
        <f>A19*15%</f>
        <v>3739470.3305637715</v>
      </c>
      <c r="E20" s="28">
        <v>3.4E8</v>
      </c>
      <c r="F20" s="63">
        <v>1406.0</v>
      </c>
    </row>
    <row r="21" spans="1:7" ht="22.5" customHeight="1">
      <c r="A21" s="29">
        <f>$E$3-B21</f>
        <v>1.801178209221548E7</v>
      </c>
      <c r="B21" s="28">
        <f>B20+C21</f>
        <v>3.219882179077845E8</v>
      </c>
      <c r="C21" s="28">
        <f>A20*15%</f>
        <v>3178549.780979204</v>
      </c>
      <c r="E21" s="28">
        <v>3.4E8</v>
      </c>
      <c r="F21" s="63">
        <v>1407.0</v>
      </c>
    </row>
    <row r="22" spans="1:7" ht="22.5" customHeight="1">
      <c r="A22" s="29">
        <f>$E$3-B22</f>
        <v>1.5310014778383136E7</v>
      </c>
      <c r="B22" s="28">
        <f>B21+C22</f>
        <v>3.2468998522161686E8</v>
      </c>
      <c r="C22" s="28">
        <f>A21*15%</f>
        <v>2701767.3138323217</v>
      </c>
      <c r="E22" s="28">
        <v>3.4E8</v>
      </c>
      <c r="F22" s="63">
        <v>1408.0</v>
      </c>
    </row>
    <row r="23" spans="1:7" ht="22.5" customHeight="1">
      <c r="A23" s="29">
        <f>$E$3-B23</f>
        <v>1.0</v>
      </c>
      <c r="B23" s="28">
        <f>B22+C23</f>
        <v>3.39999999E8</v>
      </c>
      <c r="C23" s="28">
        <f>A22-1</f>
        <v>1.5310013778383136E7</v>
      </c>
      <c r="E23" s="28">
        <v>3.4E8</v>
      </c>
      <c r="F23" s="63">
        <v>1409.0</v>
      </c>
    </row>
    <row r="25" spans="1:7" ht="22.5" customHeight="1">
      <c r="A25" s="35">
        <f>E7*5%</f>
        <v>1.7E7</v>
      </c>
      <c r="B25" s="210" t="s">
        <v>144</v>
      </c>
    </row>
  </sheetData>
  <mergeCells count="1">
    <mergeCell ref="A1:F1"/>
  </mergeCells>
</worksheet>
</file>

<file path=xl/worksheets/sheet11.xml><?xml version="1.0" encoding="utf-8"?>
<worksheet xmlns="http://schemas.openxmlformats.org/spreadsheetml/2006/main" xmlns:r="http://schemas.openxmlformats.org/officeDocument/2006/relationships">
  <dimension ref="A1:K11"/>
  <sheetViews>
    <sheetView showGridLines="1" workbookViewId="0" topLeftCell="A1">
      <selection activeCell="A1" sqref="A1"/>
    </sheetView>
  </sheetViews>
  <sheetFormatPr defaultRowHeight="15"/>
  <cols>
    <col min="1" max="1" width="9.81640625" customWidth="1"/>
    <col min="2" max="2" width="10.54296875" customWidth="1"/>
    <col min="3" max="3" width="10.90625" customWidth="1"/>
    <col min="4" max="4" width="33.96484375" customWidth="1"/>
    <col min="5" max="5" width="9.81640625" customWidth="1"/>
    <col min="8" max="8" width="10.81640625" customWidth="1"/>
    <col min="9" max="10" width="14.54296875" customWidth="1"/>
  </cols>
  <sheetData>
    <row r="1" spans="1:11" ht="28.5" customHeight="1">
      <c r="A1" s="187" t="s">
        <v>145</v>
      </c>
      <c r="B1" s="188"/>
      <c r="C1" s="188"/>
      <c r="D1" s="188"/>
      <c r="E1" s="188"/>
      <c r="F1" s="189"/>
    </row>
    <row r="2" spans="1:11" ht="22.5" customHeight="1">
      <c r="A2" s="29" t="s">
        <v>23</v>
      </c>
      <c r="B2" s="28" t="s">
        <v>28</v>
      </c>
      <c r="C2" s="28" t="s">
        <v>38</v>
      </c>
      <c r="D2" s="28" t="s">
        <v>39</v>
      </c>
      <c r="E2" s="28" t="s">
        <v>25</v>
      </c>
      <c r="F2" s="60" t="s">
        <v>30</v>
      </c>
      <c r="H2" s="86" t="s">
        <v>146</v>
      </c>
      <c r="I2" s="85">
        <v>2.9E8</v>
      </c>
    </row>
    <row r="3" spans="1:11" ht="22.5" customHeight="1">
      <c r="A3" s="29">
        <f>$E$3-B3</f>
        <v>2.779166666666667E8</v>
      </c>
      <c r="B3" s="28">
        <f>C3</f>
        <v>1.2083333333333334E7</v>
      </c>
      <c r="C3" s="28">
        <f>E3*2/16*4/12</f>
        <v>1.2083333333333334E7</v>
      </c>
      <c r="D3" s="25" t="s">
        <v>281</v>
      </c>
      <c r="E3" s="28">
        <v>2.9E8</v>
      </c>
      <c r="F3" s="63">
        <v>1390.0</v>
      </c>
      <c r="H3" s="21" t="s">
        <v>148</v>
      </c>
      <c r="I3" s="21">
        <v>0.0</v>
      </c>
      <c r="J3" s="85">
        <f>DDB($I$2,$I$3,$I$4,K3,2)</f>
        <v>3.625E7</v>
      </c>
      <c r="K3" s="21">
        <v>1.0</v>
      </c>
    </row>
    <row r="4" spans="1:11" ht="22.5" customHeight="1">
      <c r="A4" s="29">
        <f>$E$3-B4</f>
        <v>2.431770833333333E8</v>
      </c>
      <c r="B4" s="28">
        <f>B3+C4</f>
        <v>4.682291666666667E7</v>
      </c>
      <c r="C4" s="28">
        <f>A3*2/16</f>
        <v>3.4739583333333336E7</v>
      </c>
      <c r="D4" s="28" t="s">
        <v>149</v>
      </c>
      <c r="E4" s="28">
        <v>2.9E8</v>
      </c>
      <c r="F4" s="63">
        <v>1391.0</v>
      </c>
      <c r="H4" s="21" t="s">
        <v>150</v>
      </c>
      <c r="I4" s="21">
        <v>16.0</v>
      </c>
      <c r="J4" s="85">
        <f>DDB($I$2,$I$3,$I$4,K4,2)</f>
        <v>3.171875E7</v>
      </c>
      <c r="K4" s="21">
        <v>2.0</v>
      </c>
    </row>
    <row r="5" spans="1:11" ht="22.5" customHeight="1">
      <c r="A5" s="29">
        <f>$E$3-B5</f>
        <v>2.1277994791666666E8</v>
      </c>
      <c r="B5" s="28">
        <f>B4+C5</f>
        <v>7.722005208333334E7</v>
      </c>
      <c r="C5" s="28">
        <f>A4*2/16</f>
        <v>3.0397135416666664E7</v>
      </c>
      <c r="D5" s="28" t="s">
        <v>151</v>
      </c>
      <c r="E5" s="28">
        <v>2.9E8</v>
      </c>
      <c r="F5" s="63">
        <v>1392.0</v>
      </c>
      <c r="J5" s="85">
        <f>DDB($I$2,$I$3,$I$4,K5,2)</f>
        <v>2.775390625E7</v>
      </c>
      <c r="K5" s="21">
        <v>3.0</v>
      </c>
    </row>
    <row r="6" spans="1:11" ht="22.5" customHeight="1">
      <c r="A6" s="29">
        <f>$E$3-B6</f>
        <v>1.861824544270833E8</v>
      </c>
      <c r="B6" s="28">
        <f>B5+C6</f>
        <v>1.0381754557291667E8</v>
      </c>
      <c r="C6" s="28">
        <f>A5*2/16</f>
        <v>2.6597493489583332E7</v>
      </c>
      <c r="D6" s="28" t="s">
        <v>152</v>
      </c>
      <c r="E6" s="28">
        <v>2.9E8</v>
      </c>
      <c r="F6" s="63">
        <v>1393.0</v>
      </c>
      <c r="J6" s="85">
        <f>DDB($I$2,$I$3,$I$4,K6,2)</f>
        <v>2.428466796875E7</v>
      </c>
      <c r="K6" s="21">
        <v>4.0</v>
      </c>
    </row>
    <row r="7" spans="1:11" ht="22.5" customHeight="1">
      <c r="A7" s="29">
        <f>$E$3-B7</f>
        <v>1.629096476236979E8</v>
      </c>
      <c r="B7" s="28">
        <f>B6+C7</f>
        <v>1.270903523763021E8</v>
      </c>
      <c r="C7" s="28">
        <f>A6*2/16</f>
        <v>2.3272806803385414E7</v>
      </c>
      <c r="D7" s="28" t="s">
        <v>153</v>
      </c>
      <c r="E7" s="28">
        <v>2.9E8</v>
      </c>
      <c r="F7" s="63">
        <v>1394.0</v>
      </c>
      <c r="H7" s="34"/>
      <c r="J7" s="85">
        <f>DDB($I$2,$I$3,$I$4,K7,2)</f>
        <v>2.124908447265625E7</v>
      </c>
      <c r="K7" s="21">
        <v>5.0</v>
      </c>
    </row>
    <row r="8" spans="1:11" ht="23.25" customHeight="1">
      <c r="A8" s="29">
        <f>$E$3-B8</f>
        <v>1.4254594167073566E8</v>
      </c>
      <c r="B8" s="28">
        <f>B7+C8</f>
        <v>1.4745405832926434E8</v>
      </c>
      <c r="C8" s="28">
        <f>A7*2/16</f>
        <v>2.036370595296224E7</v>
      </c>
      <c r="D8" s="62" t="s">
        <v>154</v>
      </c>
      <c r="E8" s="28">
        <v>2.9E8</v>
      </c>
      <c r="F8" s="63">
        <v>1395.0</v>
      </c>
      <c r="J8" s="85">
        <f>DDB($I$2,$I$3,$I$4,K8,2)</f>
        <v>1.859294891357422E7</v>
      </c>
      <c r="K8" s="21">
        <v>6.0</v>
      </c>
    </row>
    <row r="10" spans="1:11">
      <c r="J10" s="85">
        <f>DB(I2,I3,I4,1,4)</f>
        <v>9.666666666666667E7</v>
      </c>
    </row>
    <row r="11" spans="1:11">
      <c r="D11" s="34">
        <f>E3*2/16</f>
        <v>3.625E7</v>
      </c>
    </row>
  </sheetData>
  <mergeCells count="1">
    <mergeCell ref="A1:F1"/>
  </mergeCells>
</worksheet>
</file>

<file path=xl/worksheets/sheet12.xml><?xml version="1.0" encoding="utf-8"?>
<worksheet xmlns="http://schemas.openxmlformats.org/spreadsheetml/2006/main" xmlns:r="http://schemas.openxmlformats.org/officeDocument/2006/relationships">
  <dimension ref="A1:E12"/>
  <sheetViews>
    <sheetView showGridLines="1" workbookViewId="0" topLeftCell="A1">
      <selection activeCell="A1" sqref="A1"/>
    </sheetView>
  </sheetViews>
  <sheetFormatPr defaultRowHeight="15"/>
  <cols>
    <col min="1" max="1" width="11.81640625" style="23" customWidth="1"/>
    <col min="2" max="2" width="22.1796875" style="23" customWidth="1"/>
    <col min="3" max="3" width="14.90625" style="23" customWidth="1"/>
    <col min="4" max="4" width="11.7265625" style="23" customWidth="1"/>
    <col min="5" max="256" width="8.7265625" style="23" customWidth="1"/>
  </cols>
  <sheetData>
    <row r="1" spans="1:5">
      <c r="D1" s="195" t="s">
        <v>28</v>
      </c>
      <c r="E1" s="195"/>
    </row>
    <row r="2" spans="1:5">
      <c r="A2" s="35"/>
      <c r="B2" s="35"/>
      <c r="C2" s="35"/>
      <c r="D2" s="23">
        <v>0.0</v>
      </c>
      <c r="E2" s="88"/>
    </row>
    <row r="3" spans="1:5">
      <c r="A3" s="35" t="s">
        <v>155</v>
      </c>
      <c r="B3" s="35" t="s">
        <v>156</v>
      </c>
      <c r="C3" s="91">
        <f>(8.0E8-D2)*20%</f>
        <v>1.6E8</v>
      </c>
      <c r="D3" s="51">
        <f>C3</f>
        <v>1.6E8</v>
      </c>
      <c r="E3" s="89"/>
    </row>
    <row r="4" spans="1:5">
      <c r="A4" s="35"/>
      <c r="B4" s="35"/>
      <c r="C4" s="35" t="s">
        <v>157</v>
      </c>
      <c r="D4" s="35">
        <f>D2+D3</f>
        <v>1.6E8</v>
      </c>
      <c r="E4" s="90"/>
    </row>
    <row r="5" spans="1:5">
      <c r="A5" s="35" t="s">
        <v>158</v>
      </c>
      <c r="B5" s="35" t="s">
        <v>159</v>
      </c>
      <c r="C5" s="91">
        <f>(8.0E8-D4)*20%</f>
        <v>1.28E8</v>
      </c>
      <c r="D5" s="51">
        <f>C5</f>
        <v>1.28E8</v>
      </c>
      <c r="E5" s="89"/>
    </row>
    <row r="6" spans="1:5">
      <c r="A6" s="35"/>
      <c r="B6" s="35"/>
      <c r="C6" s="35" t="s">
        <v>160</v>
      </c>
      <c r="D6" s="35">
        <f>SUM(D4:D5)</f>
        <v>2.88E8</v>
      </c>
      <c r="E6" s="90"/>
    </row>
    <row r="7" spans="1:5">
      <c r="A7" s="35" t="s">
        <v>161</v>
      </c>
      <c r="B7" s="35" t="s">
        <v>162</v>
      </c>
      <c r="C7" s="91">
        <f>(8.0E8-D6)*20%</f>
        <v>1.024E8</v>
      </c>
      <c r="D7" s="51">
        <f>C7</f>
        <v>1.024E8</v>
      </c>
      <c r="E7" s="89"/>
    </row>
    <row r="8" spans="1:5">
      <c r="A8" s="35"/>
      <c r="B8" s="35"/>
      <c r="C8" s="35" t="s">
        <v>163</v>
      </c>
      <c r="D8" s="35">
        <f>SUM(D6:D7)</f>
        <v>3.904E8</v>
      </c>
      <c r="E8" s="90"/>
    </row>
    <row r="9" spans="1:5">
      <c r="A9" s="35" t="s">
        <v>164</v>
      </c>
      <c r="B9" s="35" t="s">
        <v>165</v>
      </c>
      <c r="C9" s="91">
        <f>(8.0E8-D8)*20%</f>
        <v>8.192E7</v>
      </c>
      <c r="D9" s="51">
        <f>C9</f>
        <v>8.192E7</v>
      </c>
      <c r="E9" s="89"/>
    </row>
    <row r="10" spans="1:5">
      <c r="A10" s="35"/>
      <c r="B10" s="35"/>
      <c r="C10" s="23" t="s">
        <v>166</v>
      </c>
      <c r="D10" s="35">
        <f>SUM(D8:D9)</f>
        <v>4.7232E8</v>
      </c>
      <c r="E10" s="90"/>
    </row>
    <row r="11" spans="1:5">
      <c r="A11" s="35" t="s">
        <v>164</v>
      </c>
      <c r="B11" s="35" t="s">
        <v>167</v>
      </c>
      <c r="C11" s="91">
        <f>(8.0E8-D10)*20%</f>
        <v>6.5536E7</v>
      </c>
      <c r="D11" s="51">
        <f>C11</f>
        <v>6.5536E7</v>
      </c>
      <c r="E11" s="89"/>
    </row>
    <row r="12" spans="1:5">
      <c r="C12" s="23" t="s">
        <v>168</v>
      </c>
      <c r="D12" s="35">
        <f>SUM(D10:D11)</f>
        <v>5.37856E8</v>
      </c>
      <c r="E12" s="88"/>
    </row>
  </sheetData>
  <mergeCells count="1">
    <mergeCell ref="D1:E1"/>
  </mergeCells>
</worksheet>
</file>

<file path=xl/worksheets/sheet13.xml><?xml version="1.0" encoding="utf-8"?>
<worksheet xmlns="http://schemas.openxmlformats.org/spreadsheetml/2006/main" xmlns:r="http://schemas.openxmlformats.org/officeDocument/2006/relationships">
  <dimension ref="D1:F8"/>
  <sheetViews>
    <sheetView showGridLines="1" workbookViewId="0" topLeftCell="A1">
      <selection activeCell="D1" sqref="D1"/>
    </sheetView>
  </sheetViews>
  <sheetFormatPr defaultRowHeight="15"/>
  <cols>
    <col min="1" max="3" width="8.7265625" style="23" customWidth="1"/>
    <col min="4" max="4" width="18.7265625" style="23" customWidth="1"/>
    <col min="5" max="5" width="20.0" style="23" customWidth="1"/>
    <col min="6" max="256" width="8.7265625" style="23" customWidth="1"/>
  </cols>
  <sheetData>
    <row r="1" spans="4:6" ht="28.5" customHeight="1">
      <c r="D1" s="196" t="s">
        <v>169</v>
      </c>
      <c r="E1" s="197"/>
      <c r="F1" s="198"/>
    </row>
    <row r="2" spans="4:6">
      <c r="D2" s="92" t="s">
        <v>170</v>
      </c>
      <c r="E2" s="56" t="s">
        <v>171</v>
      </c>
      <c r="F2" s="93" t="s">
        <v>30</v>
      </c>
    </row>
    <row r="3" spans="4:6">
      <c r="D3" s="94">
        <f>4.25E7*10%*2</f>
        <v>8500000.0</v>
      </c>
      <c r="E3" s="97">
        <f>4.25E7*8%</f>
        <v>3400000.0</v>
      </c>
      <c r="F3" s="93">
        <v>1.0</v>
      </c>
    </row>
    <row r="4" spans="4:6">
      <c r="D4" s="94">
        <f>(4.25E7-D3)*10%*2</f>
        <v>6800000.0</v>
      </c>
      <c r="E4" s="97">
        <f>(4.25E7-E3)*8%</f>
        <v>3128000.0</v>
      </c>
      <c r="F4" s="93">
        <v>2.0</v>
      </c>
    </row>
    <row r="5" spans="4:6">
      <c r="D5" s="94">
        <f>(4.25E7-D4)*10%*2</f>
        <v>7140000.0</v>
      </c>
      <c r="E5" s="97">
        <f>(4.25E7-E4)*8%</f>
        <v>3149760.0</v>
      </c>
      <c r="F5" s="93">
        <v>3.0</v>
      </c>
    </row>
    <row r="6" spans="4:6">
      <c r="D6" s="94">
        <f>(4.25E7-D5)*10%*2</f>
        <v>7072000.0</v>
      </c>
      <c r="E6" s="97">
        <f>(4.25E7-E5)*8%</f>
        <v>3148019.2</v>
      </c>
      <c r="F6" s="93">
        <v>4.0</v>
      </c>
    </row>
    <row r="7" spans="4:6">
      <c r="D7" s="94">
        <f>(4.25E7-D6)*10%*2</f>
        <v>7085600.0</v>
      </c>
      <c r="E7" s="97">
        <f>(4.25E7-E6)*8%</f>
        <v>3148158.4639999997</v>
      </c>
      <c r="F7" s="93">
        <v>5.0</v>
      </c>
    </row>
    <row r="8" spans="4:6" ht="23.25" customHeight="1">
      <c r="D8" s="95">
        <f>SUM(D3:D7)</f>
        <v>3.65976E7</v>
      </c>
      <c r="E8" s="98">
        <f>SUM(E3:E7)</f>
        <v>1.5973937663999999E7</v>
      </c>
      <c r="F8" s="96" t="s">
        <v>35</v>
      </c>
    </row>
  </sheetData>
  <mergeCells count="1">
    <mergeCell ref="D1:F1"/>
  </mergeCells>
</worksheet>
</file>

<file path=xl/worksheets/sheet14.xml><?xml version="1.0" encoding="utf-8"?>
<worksheet xmlns="http://schemas.openxmlformats.org/spreadsheetml/2006/main" xmlns:r="http://schemas.openxmlformats.org/officeDocument/2006/relationships">
  <dimension ref="A1:I8"/>
  <sheetViews>
    <sheetView showGridLines="1" workbookViewId="0" topLeftCell="A1">
      <selection activeCell="A1" sqref="A1"/>
    </sheetView>
  </sheetViews>
  <sheetFormatPr defaultRowHeight="15"/>
  <cols>
    <col min="2" max="2" width="14.26953125" customWidth="1"/>
    <col min="3" max="3" width="20.26953125" customWidth="1"/>
    <col min="4" max="4" width="21.90625" customWidth="1"/>
    <col min="7" max="7" width="10.7265625" customWidth="1"/>
    <col min="8" max="8" width="10.54296875" customWidth="1"/>
    <col min="9" max="9" width="13.54296875" customWidth="1"/>
  </cols>
  <sheetData>
    <row r="1" spans="1:9" ht="28.5" customHeight="1">
      <c r="C1" s="196" t="s">
        <v>169</v>
      </c>
      <c r="D1" s="197"/>
      <c r="E1" s="198"/>
    </row>
    <row r="2" spans="1:9" ht="22.5" customHeight="1">
      <c r="C2" s="92" t="s">
        <v>172</v>
      </c>
      <c r="D2" s="56" t="s">
        <v>173</v>
      </c>
      <c r="E2" s="93" t="s">
        <v>30</v>
      </c>
      <c r="G2" s="99" t="s">
        <v>174</v>
      </c>
      <c r="H2" s="99" t="s">
        <v>175</v>
      </c>
      <c r="I2" s="99" t="s">
        <v>176</v>
      </c>
    </row>
    <row r="3" spans="1:9" ht="22.5" customHeight="1">
      <c r="A3" s="91" t="s">
        <v>146</v>
      </c>
      <c r="B3" s="35">
        <v>2.5E7</v>
      </c>
      <c r="C3" s="94">
        <f>2.5E7*2/10</f>
        <v>5000000.0</v>
      </c>
      <c r="D3" s="97">
        <f>(2.5E7-3000000.0)*10/55</f>
        <v>4000000.0</v>
      </c>
      <c r="E3" s="93">
        <v>1.0</v>
      </c>
      <c r="G3" s="100">
        <f>2*(10-E3+1)/(10*11)</f>
        <v>0.18181818181818182</v>
      </c>
      <c r="H3" s="102">
        <f>DDB($B$3,$B$4,$B$5,E3,2)</f>
        <v>5000000.0</v>
      </c>
      <c r="I3" s="101">
        <f>SYD($B$3,$B$4,$B$5,E3)</f>
        <v>4000000.0</v>
      </c>
    </row>
    <row r="4" spans="1:9" ht="22.5" customHeight="1">
      <c r="A4" s="87" t="s">
        <v>148</v>
      </c>
      <c r="B4" s="35">
        <v>3000000.0</v>
      </c>
      <c r="C4" s="94">
        <f>(2.5E7-C3)*2/10</f>
        <v>4000000.0</v>
      </c>
      <c r="D4" s="97">
        <f>(2.5E7-3000000.0)*9/55</f>
        <v>3600000.0</v>
      </c>
      <c r="E4" s="93">
        <v>2.0</v>
      </c>
      <c r="G4" s="100">
        <f>2*(10-E4+1)/(10*11)</f>
        <v>0.16363636363636364</v>
      </c>
      <c r="H4" s="102">
        <f>DDB($B$3,$B$4,$B$5,E4,2)</f>
        <v>4000000.0</v>
      </c>
      <c r="I4" s="101">
        <f>SYD($B$3,$B$4,$B$5,E4)</f>
        <v>3600000.0</v>
      </c>
    </row>
    <row r="5" spans="1:9" ht="22.5" customHeight="1">
      <c r="A5" s="87" t="s">
        <v>150</v>
      </c>
      <c r="B5" s="35">
        <v>10.0</v>
      </c>
      <c r="C5" s="94">
        <f>(2.5E7-C4-C3)*2/10</f>
        <v>3200000.0</v>
      </c>
      <c r="D5" s="97">
        <f>(2.5E7-3000000.0)*8/55</f>
        <v>3200000.0</v>
      </c>
      <c r="E5" s="93">
        <v>3.0</v>
      </c>
      <c r="G5" s="100">
        <f>2*(10-E5+1)/(10*11)</f>
        <v>0.14545454545454545</v>
      </c>
      <c r="H5" s="102">
        <f>DDB($B$3,$B$4,$B$5,E5,2)</f>
        <v>3200000.0</v>
      </c>
      <c r="I5" s="101">
        <f>SYD($B$3,$B$4,$B$5,E5)</f>
        <v>3200000.0</v>
      </c>
    </row>
    <row r="6" spans="1:9" ht="22.5" customHeight="1">
      <c r="C6" s="94">
        <f>(2.5E7-C5-C4-C3)*2/10</f>
        <v>2560000.0</v>
      </c>
      <c r="D6" s="97">
        <f>(2.5E7-3000000.0)*7/55</f>
        <v>2800000.0</v>
      </c>
      <c r="E6" s="93">
        <v>4.0</v>
      </c>
      <c r="G6" s="100">
        <f>2*(10-E6+1)/(10*11)</f>
        <v>0.12727272727272726</v>
      </c>
      <c r="H6" s="102">
        <f>DDB($B$3,$B$4,$B$5,E6,2)</f>
        <v>2560000.0</v>
      </c>
      <c r="I6" s="101">
        <f>SYD($B$3,$B$4,$B$5,E6)</f>
        <v>2800000.0</v>
      </c>
    </row>
    <row r="7" spans="1:9" ht="23.25" customHeight="1">
      <c r="C7" s="95">
        <f>SUM(C3:C6)</f>
        <v>1.476E7</v>
      </c>
      <c r="D7" s="98">
        <f>SUM(D3:D6)</f>
        <v>1.36E7</v>
      </c>
      <c r="E7" s="96" t="s">
        <v>35</v>
      </c>
    </row>
    <row r="8" spans="1:9">
      <c r="I8" s="85"/>
    </row>
  </sheetData>
  <mergeCells count="1">
    <mergeCell ref="C1:E1"/>
  </mergeCells>
</worksheet>
</file>

<file path=xl/worksheets/sheet15.xml><?xml version="1.0" encoding="utf-8"?>
<worksheet xmlns="http://schemas.openxmlformats.org/spreadsheetml/2006/main" xmlns:r="http://schemas.openxmlformats.org/officeDocument/2006/relationships">
  <dimension ref="A1:E8"/>
  <sheetViews>
    <sheetView showGridLines="1" workbookViewId="0" topLeftCell="A1">
      <selection activeCell="A1" sqref="A1"/>
    </sheetView>
  </sheetViews>
  <sheetFormatPr defaultRowHeight="15"/>
  <cols>
    <col min="1" max="1" width="8.90625" customWidth="1"/>
    <col min="2" max="2" width="10.54296875" customWidth="1"/>
    <col min="3" max="3" width="8.90625" customWidth="1"/>
    <col min="4" max="4" width="30.81640625" customWidth="1"/>
    <col min="5" max="5" width="13.36328125" customWidth="1"/>
  </cols>
  <sheetData>
    <row r="1" spans="1:5" ht="28.5" customHeight="1">
      <c r="A1" s="187" t="s">
        <v>177</v>
      </c>
      <c r="B1" s="188"/>
      <c r="C1" s="188"/>
      <c r="D1" s="188"/>
      <c r="E1" s="189"/>
    </row>
    <row r="2" spans="1:5" ht="22.5" customHeight="1">
      <c r="A2" s="29" t="s">
        <v>23</v>
      </c>
      <c r="B2" s="28" t="s">
        <v>28</v>
      </c>
      <c r="C2" s="28" t="s">
        <v>38</v>
      </c>
      <c r="D2" s="28" t="s">
        <v>39</v>
      </c>
      <c r="E2" s="26" t="s">
        <v>178</v>
      </c>
    </row>
    <row r="3" spans="1:5" ht="22.5" customHeight="1">
      <c r="A3" s="29">
        <f>8.2E7-B3</f>
        <v>6.835E7</v>
      </c>
      <c r="B3" s="28">
        <f>C3</f>
        <v>1.365E7</v>
      </c>
      <c r="C3" s="28">
        <f>(8.2E7-7000000.0)*E3/50000</f>
        <v>1.365E7</v>
      </c>
      <c r="D3" s="25" t="s">
        <v>179</v>
      </c>
      <c r="E3" s="63">
        <v>9100.0</v>
      </c>
    </row>
    <row r="4" spans="1:5" ht="22.5" customHeight="1">
      <c r="A4" s="29">
        <f>8.2E7-B4</f>
        <v>5.7175E7</v>
      </c>
      <c r="B4" s="28">
        <f>B3+C4</f>
        <v>2.4825E7</v>
      </c>
      <c r="C4" s="28">
        <f>(8.2E7-7000000.0)*E4/50000</f>
        <v>1.1175E7</v>
      </c>
      <c r="D4" s="25" t="s">
        <v>180</v>
      </c>
      <c r="E4" s="63">
        <v>7450.0</v>
      </c>
    </row>
    <row r="5" spans="1:5" ht="22.5" customHeight="1">
      <c r="A5" s="29">
        <f>8.2E7-B5</f>
        <v>4.3975E7</v>
      </c>
      <c r="B5" s="28">
        <f>B4+C5</f>
        <v>3.8025E7</v>
      </c>
      <c r="C5" s="28">
        <f>(8.2E7-7000000.0)*E5/50000</f>
        <v>1.32E7</v>
      </c>
      <c r="D5" s="25" t="s">
        <v>181</v>
      </c>
      <c r="E5" s="63">
        <v>8800.0</v>
      </c>
    </row>
    <row r="6" spans="1:5" ht="22.5" customHeight="1">
      <c r="A6" s="29">
        <f>8.2E7-B6</f>
        <v>3.16E7</v>
      </c>
      <c r="B6" s="28">
        <f>B5+C6</f>
        <v>5.04E7</v>
      </c>
      <c r="C6" s="28">
        <f>(8.2E7-7000000.0)*E6/50000</f>
        <v>1.2375E7</v>
      </c>
      <c r="D6" s="25" t="s">
        <v>182</v>
      </c>
      <c r="E6" s="63">
        <v>8250.0</v>
      </c>
    </row>
    <row r="7" spans="1:5" ht="22.5" customHeight="1">
      <c r="A7" s="29">
        <f>8.2E7-B7</f>
        <v>2.035E7</v>
      </c>
      <c r="B7" s="28">
        <f>B6+C7</f>
        <v>6.165E7</v>
      </c>
      <c r="C7" s="28">
        <f>(8.2E7-7000000.0)*E7/50000</f>
        <v>1.125E7</v>
      </c>
      <c r="D7" s="25" t="s">
        <v>183</v>
      </c>
      <c r="E7" s="63">
        <v>7500.0</v>
      </c>
    </row>
    <row r="8" spans="1:5" ht="22.5" customHeight="1">
      <c r="A8" s="29">
        <f>8.2E7-B8</f>
        <v>7000000.0</v>
      </c>
      <c r="B8" s="28">
        <f>B7+C8</f>
        <v>7.5E7</v>
      </c>
      <c r="C8" s="28">
        <f>(8.2E7-7000000.0)*E8/50000</f>
        <v>1.335E7</v>
      </c>
      <c r="D8" s="25" t="s">
        <v>184</v>
      </c>
      <c r="E8" s="63">
        <v>8900.0</v>
      </c>
    </row>
  </sheetData>
  <mergeCells count="1">
    <mergeCell ref="A1:E1"/>
  </mergeCells>
</worksheet>
</file>

<file path=xl/worksheets/sheet16.xml><?xml version="1.0" encoding="utf-8"?>
<worksheet xmlns="http://schemas.openxmlformats.org/spreadsheetml/2006/main" xmlns:r="http://schemas.openxmlformats.org/officeDocument/2006/relationships">
  <dimension ref="A1:H11"/>
  <sheetViews>
    <sheetView showGridLines="1" workbookViewId="0" topLeftCell="A1">
      <selection activeCell="A1" sqref="A1"/>
    </sheetView>
  </sheetViews>
  <sheetFormatPr defaultRowHeight="15"/>
  <cols>
    <col min="1" max="1" width="9.81640625" customWidth="1"/>
    <col min="2" max="2" width="10.54296875" customWidth="1"/>
    <col min="3" max="3" width="10.81640625" customWidth="1"/>
    <col min="4" max="4" width="30.90625" customWidth="1"/>
    <col min="5" max="5" width="12.36328125" customWidth="1"/>
    <col min="6" max="6" width="3.90625" customWidth="1"/>
    <col min="7" max="7" width="13.26953125" customWidth="1"/>
    <col min="8" max="8" width="10.81640625" customWidth="1"/>
  </cols>
  <sheetData>
    <row r="1" spans="1:8" ht="28.5" customHeight="1">
      <c r="A1" s="199" t="s">
        <v>177</v>
      </c>
      <c r="B1" s="199"/>
      <c r="C1" s="199"/>
      <c r="D1" s="199"/>
      <c r="E1" s="199"/>
      <c r="F1" s="199"/>
    </row>
    <row r="2" spans="1:8" ht="22.5" customHeight="1">
      <c r="A2" s="109" t="s">
        <v>23</v>
      </c>
      <c r="B2" s="109" t="s">
        <v>28</v>
      </c>
      <c r="C2" s="109" t="s">
        <v>38</v>
      </c>
      <c r="D2" s="109" t="s">
        <v>39</v>
      </c>
      <c r="E2" s="80" t="s">
        <v>178</v>
      </c>
      <c r="F2" s="109" t="s">
        <v>30</v>
      </c>
    </row>
    <row r="3" spans="1:8" ht="22.5" customHeight="1">
      <c r="A3" s="28">
        <f>7.6E7-B3</f>
        <v>6.7E7</v>
      </c>
      <c r="B3" s="28">
        <f>C3</f>
        <v>9000000.0</v>
      </c>
      <c r="C3" s="28">
        <f>(7.6E7-6000000.0)*E3/28000</f>
        <v>9000000.0</v>
      </c>
      <c r="D3" s="25" t="s">
        <v>185</v>
      </c>
      <c r="E3" s="103">
        <v>3600.0</v>
      </c>
      <c r="F3" s="104">
        <v>89.0</v>
      </c>
      <c r="G3" s="34">
        <v>7.6E7</v>
      </c>
      <c r="H3" s="34">
        <f>$G$7*E3</f>
        <v>9000000.0</v>
      </c>
    </row>
    <row r="4" spans="1:8" ht="22.5" customHeight="1">
      <c r="A4" s="28">
        <f>7.6E7-B4</f>
        <v>5.75E7</v>
      </c>
      <c r="B4" s="28">
        <f>B3+C4</f>
        <v>1.85E7</v>
      </c>
      <c r="C4" s="28">
        <f>(7.6E7-6000000.0)*E4/28000</f>
        <v>9500000.0</v>
      </c>
      <c r="D4" s="25" t="s">
        <v>186</v>
      </c>
      <c r="E4" s="103">
        <v>3800.0</v>
      </c>
      <c r="F4" s="104">
        <v>90.0</v>
      </c>
      <c r="G4" s="34">
        <v>6000000.0</v>
      </c>
      <c r="H4" s="34">
        <f>$G$7*E4</f>
        <v>9500000.0</v>
      </c>
    </row>
    <row r="5" spans="1:8" ht="22.5" customHeight="1">
      <c r="A5" s="28">
        <f>7.6E7-B5</f>
        <v>4.8875E7</v>
      </c>
      <c r="B5" s="28">
        <f>B4+C5</f>
        <v>2.7125E7</v>
      </c>
      <c r="C5" s="28">
        <f>(7.6E7-6000000.0)*E5/28000</f>
        <v>8625000.0</v>
      </c>
      <c r="D5" s="25" t="s">
        <v>187</v>
      </c>
      <c r="E5" s="103">
        <v>3450.0</v>
      </c>
      <c r="F5" s="104">
        <v>91.0</v>
      </c>
      <c r="G5" s="34">
        <v>28000.0</v>
      </c>
      <c r="H5" s="34">
        <f>$G$7*E5</f>
        <v>8625000.0</v>
      </c>
    </row>
    <row r="6" spans="1:8" ht="22.5" customHeight="1">
      <c r="A6" s="28">
        <f>7.6E7-B6</f>
        <v>4.0875E7</v>
      </c>
      <c r="B6" s="28">
        <f>B5+C6</f>
        <v>3.5125E7</v>
      </c>
      <c r="C6" s="28">
        <f>(7.6E7-6000000.0)*E6/28000</f>
        <v>8000000.0</v>
      </c>
      <c r="D6" s="25" t="s">
        <v>188</v>
      </c>
      <c r="E6" s="103">
        <v>3200.0</v>
      </c>
      <c r="F6" s="104">
        <v>92.0</v>
      </c>
      <c r="H6" s="34">
        <f>$G$7*E6</f>
        <v>8000000.0</v>
      </c>
    </row>
    <row r="7" spans="1:8" ht="22.5" customHeight="1">
      <c r="A7" s="28">
        <f>7.6E7-B7</f>
        <v>3.2E7</v>
      </c>
      <c r="B7" s="28">
        <f>B6+C7</f>
        <v>4.4E7</v>
      </c>
      <c r="C7" s="28">
        <f>(7.6E7-6000000.0)*E7/28000</f>
        <v>8875000.0</v>
      </c>
      <c r="D7" s="25" t="s">
        <v>189</v>
      </c>
      <c r="E7" s="103">
        <v>3550.0</v>
      </c>
      <c r="F7" s="104">
        <v>93.0</v>
      </c>
      <c r="G7" s="34">
        <f>(G3-G4)/G5</f>
        <v>2500.0</v>
      </c>
      <c r="H7" s="34">
        <f>$G$7*E7</f>
        <v>8875000.0</v>
      </c>
    </row>
    <row r="8" spans="1:8" ht="22.5" customHeight="1">
      <c r="A8" s="28">
        <f>7.6E7-B8</f>
        <v>2.225E7</v>
      </c>
      <c r="B8" s="28">
        <f>B7+C8</f>
        <v>5.375E7</v>
      </c>
      <c r="C8" s="28">
        <f>(7.6E7-6000000.0)*E8/28000</f>
        <v>9750000.0</v>
      </c>
      <c r="D8" s="25" t="s">
        <v>190</v>
      </c>
      <c r="E8" s="103">
        <v>3900.0</v>
      </c>
      <c r="F8" s="104">
        <v>94.0</v>
      </c>
      <c r="H8" s="34">
        <f>$G$7*E8</f>
        <v>9750000.0</v>
      </c>
    </row>
    <row r="9" spans="1:8" ht="22.5" customHeight="1">
      <c r="A9" s="28">
        <f>7.6E7-B9</f>
        <v>1.35E7</v>
      </c>
      <c r="B9" s="28">
        <f>B8+C9</f>
        <v>6.25E7</v>
      </c>
      <c r="C9" s="28">
        <f>(7.6E7-6000000.0)*E9/28000</f>
        <v>8750000.0</v>
      </c>
      <c r="D9" s="25" t="s">
        <v>191</v>
      </c>
      <c r="E9" s="103">
        <v>3500.0</v>
      </c>
      <c r="F9" s="104">
        <v>95.0</v>
      </c>
      <c r="H9" s="34">
        <f>$G$7*E9</f>
        <v>8750000.0</v>
      </c>
    </row>
    <row r="10" spans="1:8" ht="22.5" customHeight="1">
      <c r="A10" s="28">
        <f>7.6E7-B10</f>
        <v>6000000.0</v>
      </c>
      <c r="B10" s="28">
        <f>B9+C10</f>
        <v>7.0E7</v>
      </c>
      <c r="C10" s="28">
        <f>(7.6E7-6000000.0)*3000/28000</f>
        <v>7500000.0</v>
      </c>
      <c r="D10" s="25" t="s">
        <v>192</v>
      </c>
      <c r="E10" s="103">
        <v>3300.0</v>
      </c>
      <c r="F10" s="104">
        <v>96.0</v>
      </c>
      <c r="H10" s="34">
        <f>$G$7*E10</f>
        <v>8250000.0</v>
      </c>
    </row>
    <row r="11" spans="1:8" ht="22.5" customHeight="1">
      <c r="A11" s="106">
        <f>A10</f>
        <v>6000000.0</v>
      </c>
      <c r="B11" s="108"/>
      <c r="C11" s="106">
        <f>SUM(C3:C10)</f>
        <v>7.0E7</v>
      </c>
      <c r="D11" s="106">
        <f>C11</f>
        <v>7.0E7</v>
      </c>
      <c r="E11" s="107">
        <f>SUM(E3:E10)</f>
        <v>28300.0</v>
      </c>
      <c r="F11" s="105" t="s">
        <v>35</v>
      </c>
      <c r="H11" s="34">
        <f>SUM(H3:H10)</f>
        <v>7.075E7</v>
      </c>
    </row>
  </sheetData>
  <mergeCells count="1">
    <mergeCell ref="A1:F1"/>
  </mergeCells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3"/>
  <sheetViews>
    <sheetView showGridLines="1" workbookViewId="0" topLeftCell="A1">
      <selection activeCell="A1" sqref="A1"/>
    </sheetView>
  </sheetViews>
  <sheetFormatPr defaultRowHeight="15"/>
  <cols>
    <col min="1" max="1" width="9.81640625" customWidth="1"/>
    <col min="2" max="2" width="10.54296875" customWidth="1"/>
    <col min="3" max="3" width="9.81640625" customWidth="1"/>
    <col min="4" max="4" width="26.1796875" customWidth="1"/>
    <col min="5" max="5" width="13.26953125" customWidth="1"/>
  </cols>
  <sheetData>
    <row r="1" spans="1:6" ht="28.5" customHeight="1">
      <c r="A1" s="196" t="s">
        <v>177</v>
      </c>
      <c r="B1" s="197"/>
      <c r="C1" s="197"/>
      <c r="D1" s="197"/>
      <c r="E1" s="197"/>
      <c r="F1" s="198"/>
    </row>
    <row r="2" spans="1:6" ht="22.5" customHeight="1">
      <c r="A2" s="110" t="s">
        <v>23</v>
      </c>
      <c r="B2" s="109" t="s">
        <v>28</v>
      </c>
      <c r="C2" s="109" t="s">
        <v>38</v>
      </c>
      <c r="D2" s="109" t="s">
        <v>39</v>
      </c>
      <c r="E2" s="80" t="s">
        <v>193</v>
      </c>
      <c r="F2" s="111" t="s">
        <v>30</v>
      </c>
    </row>
    <row r="3" spans="1:6" ht="22.5" customHeight="1">
      <c r="A3" s="29">
        <f>1.4075E8-B3</f>
        <v>1.3316E8</v>
      </c>
      <c r="B3" s="28">
        <f>C3</f>
        <v>7590000.0</v>
      </c>
      <c r="C3" s="28">
        <f>(1.4075E8-2.0E7)*E3/350000.0</f>
        <v>7590000.0</v>
      </c>
      <c r="D3" s="25" t="s">
        <v>194</v>
      </c>
      <c r="E3" s="103">
        <v>22000.0</v>
      </c>
      <c r="F3" s="112">
        <v>86.0</v>
      </c>
    </row>
    <row r="4" spans="1:6" ht="22.5" customHeight="1">
      <c r="A4" s="29">
        <f>1.4075E8-B4</f>
        <v>1.2281E8</v>
      </c>
      <c r="B4" s="28">
        <f>B3+C4</f>
        <v>1.794E7</v>
      </c>
      <c r="C4" s="28">
        <f>(1.4075E8-2.0E7)*E4/350000.0</f>
        <v>1.035E7</v>
      </c>
      <c r="D4" s="25" t="s">
        <v>195</v>
      </c>
      <c r="E4" s="103">
        <v>30000.0</v>
      </c>
      <c r="F4" s="112">
        <v>87.0</v>
      </c>
    </row>
    <row r="5" spans="1:6" ht="22.5" customHeight="1">
      <c r="A5" s="29">
        <f>1.4075E8-B5</f>
        <v>1.1039E8</v>
      </c>
      <c r="B5" s="28">
        <f>B4+C5</f>
        <v>3.036E7</v>
      </c>
      <c r="C5" s="28">
        <f>(1.4075E8-2.0E7)*E5/350000.0</f>
        <v>1.242E7</v>
      </c>
      <c r="D5" s="25" t="s">
        <v>196</v>
      </c>
      <c r="E5" s="103">
        <v>36000.0</v>
      </c>
      <c r="F5" s="112">
        <v>88.0</v>
      </c>
    </row>
    <row r="6" spans="1:6" ht="22.5" customHeight="1">
      <c r="A6" s="29">
        <f>1.4075E8-B6</f>
        <v>9.6935E7</v>
      </c>
      <c r="B6" s="28">
        <f>B5+C6</f>
        <v>4.3815E7</v>
      </c>
      <c r="C6" s="28">
        <f>(1.4075E8-2.0E7)*E6/350000.0</f>
        <v>1.3455E7</v>
      </c>
      <c r="D6" s="25" t="s">
        <v>197</v>
      </c>
      <c r="E6" s="103">
        <v>39000.0</v>
      </c>
      <c r="F6" s="112">
        <v>89.0</v>
      </c>
    </row>
    <row r="7" spans="1:6" ht="22.5" customHeight="1">
      <c r="A7" s="29">
        <f>1.4075E8-B7</f>
        <v>8.26175E7</v>
      </c>
      <c r="B7" s="28">
        <f>B6+C7</f>
        <v>5.81325E7</v>
      </c>
      <c r="C7" s="28">
        <f>(1.4075E8-2.0E7)*E7/350000.0</f>
        <v>1.43175E7</v>
      </c>
      <c r="D7" s="25" t="s">
        <v>198</v>
      </c>
      <c r="E7" s="103">
        <v>41500.0</v>
      </c>
      <c r="F7" s="112">
        <v>90.0</v>
      </c>
    </row>
    <row r="8" spans="1:6" ht="22.5" customHeight="1">
      <c r="A8" s="29">
        <f>1.4075E8-B8</f>
        <v>7.29575E7</v>
      </c>
      <c r="B8" s="28">
        <f>B7+C8</f>
        <v>6.77925E7</v>
      </c>
      <c r="C8" s="28">
        <f>(1.4075E8-2.0E7)*E8/350000.0</f>
        <v>9660000.0</v>
      </c>
      <c r="D8" s="25" t="s">
        <v>199</v>
      </c>
      <c r="E8" s="103">
        <v>28000.0</v>
      </c>
      <c r="F8" s="112">
        <v>91.0</v>
      </c>
    </row>
    <row r="9" spans="1:6" ht="22.5" customHeight="1">
      <c r="A9" s="29">
        <f>1.4075E8-B9</f>
        <v>6.12275E7</v>
      </c>
      <c r="B9" s="28">
        <f>B8+C9</f>
        <v>7.95225E7</v>
      </c>
      <c r="C9" s="28">
        <f>(1.4075E8-2.0E7)*E9/350000.0</f>
        <v>1.173E7</v>
      </c>
      <c r="D9" s="25" t="s">
        <v>200</v>
      </c>
      <c r="E9" s="103">
        <v>34000.0</v>
      </c>
      <c r="F9" s="112">
        <v>92.0</v>
      </c>
    </row>
    <row r="10" spans="1:6" ht="22.5" customHeight="1">
      <c r="A10" s="29">
        <f>1.4075E8-B10</f>
        <v>4.7945E7</v>
      </c>
      <c r="B10" s="28">
        <f>B9+C10</f>
        <v>9.2805E7</v>
      </c>
      <c r="C10" s="28">
        <f>(1.4075E8-2.0E7)*E10/350000.0</f>
        <v>1.32825E7</v>
      </c>
      <c r="D10" s="25" t="s">
        <v>201</v>
      </c>
      <c r="E10" s="103">
        <v>38500.0</v>
      </c>
      <c r="F10" s="112">
        <v>93.0</v>
      </c>
    </row>
    <row r="11" spans="1:6" ht="22.5" customHeight="1">
      <c r="A11" s="29">
        <f>1.4075E8-B11</f>
        <v>3.2765E7</v>
      </c>
      <c r="B11" s="28">
        <f>B10+C11</f>
        <v>1.07985E8</v>
      </c>
      <c r="C11" s="28">
        <f>(1.4075E8-2.0E7)*E11/350000.0</f>
        <v>1.518E7</v>
      </c>
      <c r="D11" s="25" t="s">
        <v>202</v>
      </c>
      <c r="E11" s="103">
        <v>44000.0</v>
      </c>
      <c r="F11" s="112">
        <v>94.0</v>
      </c>
    </row>
    <row r="12" spans="1:6" ht="22.5" customHeight="1">
      <c r="A12" s="29">
        <f>1.4075E8-B12</f>
        <v>2.0E7</v>
      </c>
      <c r="B12" s="28">
        <f>B11+C12</f>
        <v>1.2075E8</v>
      </c>
      <c r="C12" s="28">
        <f>(1.4075E8-2.0E7)*E12/350000.0</f>
        <v>1.2765E7</v>
      </c>
      <c r="D12" s="25" t="s">
        <v>203</v>
      </c>
      <c r="E12" s="103">
        <v>37000.0</v>
      </c>
      <c r="F12" s="112">
        <v>95.0</v>
      </c>
    </row>
    <row r="13" spans="1:6" ht="23.25" customHeight="1">
      <c r="A13" s="113">
        <f>A12</f>
        <v>2.0E7</v>
      </c>
      <c r="B13" s="114"/>
      <c r="C13" s="115">
        <f>SUM(C3:C12)</f>
        <v>1.2075E8</v>
      </c>
      <c r="D13" s="115">
        <f>C13</f>
        <v>1.2075E8</v>
      </c>
      <c r="E13" s="116">
        <f>SUM(E3:E12)</f>
        <v>350000.0</v>
      </c>
      <c r="F13" s="117" t="s">
        <v>35</v>
      </c>
    </row>
  </sheetData>
  <mergeCells count="1">
    <mergeCell ref="A1:F1"/>
  </mergeCells>
</worksheet>
</file>

<file path=xl/worksheets/sheet18.xml><?xml version="1.0" encoding="utf-8"?>
<worksheet xmlns="http://schemas.openxmlformats.org/spreadsheetml/2006/main" xmlns:r="http://schemas.openxmlformats.org/officeDocument/2006/relationships">
  <dimension ref="C1:G11"/>
  <sheetViews>
    <sheetView showGridLines="1" workbookViewId="0" topLeftCell="A1">
      <selection activeCell="C1" sqref="C1"/>
    </sheetView>
  </sheetViews>
  <sheetFormatPr defaultRowHeight="15"/>
  <cols>
    <col min="1" max="2" width="8.7265625" style="24" customWidth="1"/>
    <col min="3" max="3" width="14.36328125" style="24" customWidth="1"/>
    <col min="4" max="4" width="13.26953125" style="24" customWidth="1"/>
    <col min="5" max="5" width="14.6328125" style="24" customWidth="1"/>
    <col min="6" max="6" width="13.26953125" style="24" customWidth="1"/>
    <col min="7" max="256" width="8.7265625" style="24" customWidth="1"/>
  </cols>
  <sheetData>
    <row r="1" spans="3:7">
      <c r="C1" s="80" t="s">
        <v>38</v>
      </c>
      <c r="D1" s="80" t="s">
        <v>38</v>
      </c>
      <c r="E1" s="80" t="s">
        <v>38</v>
      </c>
      <c r="F1" s="80" t="s">
        <v>38</v>
      </c>
      <c r="G1" s="80" t="s">
        <v>30</v>
      </c>
    </row>
    <row r="2" spans="3:7">
      <c r="C2" s="28">
        <v>5.76E7</v>
      </c>
      <c r="D2" s="28">
        <v>4.8E7</v>
      </c>
      <c r="E2" s="28">
        <v>1.0E8</v>
      </c>
      <c r="F2" s="28">
        <v>5.625E7</v>
      </c>
      <c r="G2" s="80" t="s">
        <v>204</v>
      </c>
    </row>
    <row r="3" spans="3:7">
      <c r="C3" s="28">
        <v>5.0688E7</v>
      </c>
      <c r="D3" s="28">
        <v>4.56E7</v>
      </c>
      <c r="E3" s="28">
        <v>8.75E7</v>
      </c>
      <c r="F3" s="28">
        <v>5.625E7</v>
      </c>
      <c r="G3" s="80" t="s">
        <v>205</v>
      </c>
    </row>
    <row r="4" spans="3:7">
      <c r="C4" s="77" t="s">
        <v>206</v>
      </c>
      <c r="D4" s="77" t="s">
        <v>207</v>
      </c>
      <c r="E4" s="77" t="s">
        <v>208</v>
      </c>
      <c r="F4" s="77" t="s">
        <v>209</v>
      </c>
      <c r="G4" s="80" t="s">
        <v>210</v>
      </c>
    </row>
    <row r="5" spans="3:7" ht="23.25" customHeight="1"/>
    <row r="6" spans="3:7">
      <c r="C6" s="200" t="s">
        <v>39</v>
      </c>
      <c r="D6" s="201"/>
      <c r="E6" s="201"/>
      <c r="F6" s="201"/>
      <c r="G6" s="202"/>
    </row>
    <row r="7" spans="3:7">
      <c r="C7" s="27" t="s">
        <v>211</v>
      </c>
      <c r="D7" s="25" t="s">
        <v>207</v>
      </c>
      <c r="E7" s="25" t="s">
        <v>176</v>
      </c>
      <c r="F7" s="25" t="s">
        <v>212</v>
      </c>
      <c r="G7" s="26"/>
    </row>
    <row r="8" spans="3:7">
      <c r="C8" s="27">
        <f>4.8E8*12%</f>
        <v>5.76E7</v>
      </c>
      <c r="D8" s="25">
        <f>(4.8E8-3.0E7)*16000/150000.0</f>
        <v>4.8E7</v>
      </c>
      <c r="E8" s="122">
        <f>SYD(4.8E8,3.0E7,8,1)</f>
        <v>1.0E8</v>
      </c>
      <c r="F8" s="122">
        <f>SLN(4.8E8,3.0E7,8)</f>
        <v>5.625E7</v>
      </c>
      <c r="G8" s="26" t="s">
        <v>204</v>
      </c>
    </row>
    <row r="9" spans="3:7" ht="23.25" customHeight="1">
      <c r="C9" s="118">
        <f>(4.8E8-C8)*12%</f>
        <v>5.0688E7</v>
      </c>
      <c r="D9" s="119">
        <f>(4.8E8-3.0E7)*15200/150000.0</f>
        <v>4.56E7</v>
      </c>
      <c r="E9" s="123">
        <f>SYD(4.8E8,3.0E7,8,2)</f>
        <v>8.75E7</v>
      </c>
      <c r="F9" s="123">
        <f>SLN(4.8E8,3.0E7,8)</f>
        <v>5.625E7</v>
      </c>
      <c r="G9" s="120" t="s">
        <v>205</v>
      </c>
    </row>
    <row r="11" spans="3:7">
      <c r="C11" s="121"/>
    </row>
  </sheetData>
  <mergeCells count="1">
    <mergeCell ref="C6:G6"/>
  </mergeCells>
</worksheet>
</file>

<file path=xl/worksheets/sheet19.xml><?xml version="1.0" encoding="utf-8"?>
<worksheet xmlns="http://schemas.openxmlformats.org/spreadsheetml/2006/main" xmlns:r="http://schemas.openxmlformats.org/officeDocument/2006/relationships">
  <sheetViews>
    <sheetView showGridLines="1" workbookViewId="0" topLeftCell="A13">
      <selection activeCell="A1" sqref="A1"/>
    </sheetView>
  </sheetViews>
  <sheetFormatPr defaultRowHeight="15"/>
  <cols>
    <col min="4" max="4" width="23.36328125" customWidth="1"/>
    <col min="5" max="5" width="9.453125" customWidth="1"/>
  </cols>
  <sheetData>
    <row r="1" spans="1:1" ht="28.5" customHeight="1">
      <c r="A1" s="179" t="s">
        <v>37</v>
      </c>
      <c r="B1" s="179"/>
      <c r="C1" s="179"/>
      <c r="D1" s="179"/>
      <c r="E1" s="179"/>
      <c r="F1" s="179"/>
    </row>
    <row r="2" spans="1:1" ht="22.5" customHeight="1">
      <c r="A2" s="28" t="s">
        <v>23</v>
      </c>
      <c r="B2" s="28" t="s">
        <v>28</v>
      </c>
      <c r="C2" s="28" t="s">
        <v>38</v>
      </c>
      <c r="D2" s="28" t="s">
        <v>39</v>
      </c>
      <c r="E2" s="28" t="s">
        <v>25</v>
      </c>
      <c r="F2" s="28" t="s">
        <v>30</v>
      </c>
    </row>
    <row r="3" spans="1:1" ht="22.5" customHeight="1">
      <c r="A3" s="28">
        <f>$E$3-B3</f>
        <v>1300000.0</v>
      </c>
      <c r="B3" s="28">
        <f>C3</f>
        <v>300000.0</v>
      </c>
      <c r="C3" s="28">
        <f>(E3-100000.0)/5</f>
        <v>300000.0</v>
      </c>
      <c r="D3" s="28" t="s">
        <v>213</v>
      </c>
      <c r="E3" s="28">
        <v>1600000.0</v>
      </c>
      <c r="F3" s="33">
        <v>1.0</v>
      </c>
    </row>
    <row r="4" spans="1:1" ht="22.5" customHeight="1">
      <c r="A4" s="28">
        <f>$E$3-B4</f>
        <v>1000000.0</v>
      </c>
      <c r="B4" s="28">
        <f>B3+C4</f>
        <v>600000.0</v>
      </c>
      <c r="C4" s="28">
        <f>(E4-100000.0)/5</f>
        <v>300000.0</v>
      </c>
      <c r="D4" s="28" t="s">
        <v>213</v>
      </c>
      <c r="E4" s="28">
        <v>1600000.0</v>
      </c>
      <c r="F4" s="33">
        <v>2.0</v>
      </c>
    </row>
    <row r="5" spans="1:1" ht="22.5" customHeight="1">
      <c r="A5" s="28">
        <f>$E$3-B5</f>
        <v>700000.0</v>
      </c>
      <c r="B5" s="28">
        <f>B4+C5</f>
        <v>900000.0</v>
      </c>
      <c r="C5" s="28">
        <f>(E5-100000.0)/5</f>
        <v>300000.0</v>
      </c>
      <c r="D5" s="28" t="s">
        <v>213</v>
      </c>
      <c r="E5" s="28">
        <v>1600000.0</v>
      </c>
      <c r="F5" s="33">
        <v>3.0</v>
      </c>
    </row>
    <row r="6" spans="1:1" ht="22.5" customHeight="1">
      <c r="A6" s="28">
        <f>$E$3-B6</f>
        <v>400000.0</v>
      </c>
      <c r="B6" s="28">
        <f>B5+C6</f>
        <v>1200000.0</v>
      </c>
      <c r="C6" s="28">
        <f>(E6-100000.0)/5</f>
        <v>300000.0</v>
      </c>
      <c r="D6" s="28" t="s">
        <v>213</v>
      </c>
      <c r="E6" s="28">
        <v>1600000.0</v>
      </c>
      <c r="F6" s="33">
        <v>4.0</v>
      </c>
    </row>
    <row r="7" spans="1:1" ht="22.5" customHeight="1">
      <c r="A7" s="28">
        <f>$E$3-B7</f>
        <v>100000.0</v>
      </c>
      <c r="B7" s="28">
        <f>B6+C7</f>
        <v>1500000.0</v>
      </c>
      <c r="C7" s="28">
        <f>(E7-100000.0)/5</f>
        <v>300000.0</v>
      </c>
      <c r="D7" s="28" t="s">
        <v>213</v>
      </c>
      <c r="E7" s="28">
        <v>1600000.0</v>
      </c>
      <c r="F7" s="33">
        <v>5.0</v>
      </c>
    </row>
    <row r="10" spans="1:1" ht="28.5" customHeight="1">
      <c r="A10" s="179" t="s">
        <v>214</v>
      </c>
      <c r="B10" s="179"/>
      <c r="C10" s="179"/>
      <c r="D10" s="179"/>
      <c r="E10" s="179"/>
      <c r="F10" s="179"/>
    </row>
    <row r="11" spans="1:1" ht="22.5" customHeight="1">
      <c r="A11" s="28" t="s">
        <v>23</v>
      </c>
      <c r="B11" s="28" t="s">
        <v>28</v>
      </c>
      <c r="C11" s="28" t="s">
        <v>38</v>
      </c>
      <c r="D11" s="28" t="s">
        <v>39</v>
      </c>
      <c r="E11" s="28" t="s">
        <v>25</v>
      </c>
      <c r="F11" s="28" t="s">
        <v>30</v>
      </c>
    </row>
    <row r="12" spans="1:1" ht="22.5" customHeight="1">
      <c r="A12" s="28">
        <f>$E$3-B12</f>
        <v>1100000.0</v>
      </c>
      <c r="B12" s="28">
        <f>C12</f>
        <v>500000.0</v>
      </c>
      <c r="C12" s="28">
        <f>SYD(1600000.0,100000.0,5,F12)</f>
        <v>500000.0</v>
      </c>
      <c r="D12" s="28" t="s">
        <v>215</v>
      </c>
      <c r="E12" s="28">
        <v>1600000.0</v>
      </c>
      <c r="F12" s="33">
        <v>1.0</v>
      </c>
    </row>
    <row r="13" spans="1:1" ht="22.5" customHeight="1">
      <c r="A13" s="28">
        <f>$E$3-B13</f>
        <v>700000.0</v>
      </c>
      <c r="B13" s="28">
        <f>B12+C13</f>
        <v>900000.0</v>
      </c>
      <c r="C13" s="28">
        <f>SYD(1600000.0,100000.0,5,F13)</f>
        <v>400000.0</v>
      </c>
      <c r="D13" s="28" t="s">
        <v>216</v>
      </c>
      <c r="E13" s="28">
        <v>1600000.0</v>
      </c>
      <c r="F13" s="33">
        <v>2.0</v>
      </c>
    </row>
    <row r="14" spans="1:1" ht="22.5" customHeight="1">
      <c r="A14" s="28">
        <f>$E$3-B14</f>
        <v>400000.0</v>
      </c>
      <c r="B14" s="28">
        <f>B13+C14</f>
        <v>1200000.0</v>
      </c>
      <c r="C14" s="28">
        <f>SYD(1600000.0,100000.0,5,F14)</f>
        <v>300000.0</v>
      </c>
      <c r="D14" s="28" t="s">
        <v>217</v>
      </c>
      <c r="E14" s="28">
        <v>1600000.0</v>
      </c>
      <c r="F14" s="33">
        <v>3.0</v>
      </c>
    </row>
    <row r="15" spans="1:1" ht="22.5" customHeight="1">
      <c r="A15" s="28">
        <f>$E$3-B15</f>
        <v>200000.0</v>
      </c>
      <c r="B15" s="28">
        <f>B14+C15</f>
        <v>1400000.0</v>
      </c>
      <c r="C15" s="28">
        <f>SYD(1600000.0,100000.0,5,F15)</f>
        <v>200000.0</v>
      </c>
      <c r="D15" s="28" t="s">
        <v>218</v>
      </c>
      <c r="E15" s="28">
        <v>1600000.0</v>
      </c>
      <c r="F15" s="33">
        <v>4.0</v>
      </c>
    </row>
    <row r="16" spans="1:1" ht="22.5" customHeight="1">
      <c r="A16" s="28">
        <f>$E$3-B16</f>
        <v>100000.0</v>
      </c>
      <c r="B16" s="28">
        <f>B15+C16</f>
        <v>1500000.0</v>
      </c>
      <c r="C16" s="28">
        <f>SYD(1600000.0,100000.0,5,F16)</f>
        <v>100000.0</v>
      </c>
      <c r="D16" s="28" t="s">
        <v>219</v>
      </c>
      <c r="E16" s="28">
        <v>1600000.0</v>
      </c>
      <c r="F16" s="33">
        <v>5.0</v>
      </c>
    </row>
    <row r="19" spans="1:1" ht="28.5" customHeight="1">
      <c r="A19" s="179" t="s">
        <v>220</v>
      </c>
      <c r="B19" s="179"/>
      <c r="C19" s="179"/>
      <c r="D19" s="179"/>
      <c r="E19" s="179"/>
      <c r="F19" s="179"/>
    </row>
    <row r="20" spans="1:1" ht="22.5" customHeight="1">
      <c r="A20" s="28" t="s">
        <v>23</v>
      </c>
      <c r="B20" s="28" t="s">
        <v>28</v>
      </c>
      <c r="C20" s="28" t="s">
        <v>38</v>
      </c>
      <c r="D20" s="28" t="s">
        <v>39</v>
      </c>
      <c r="E20" s="28" t="s">
        <v>25</v>
      </c>
      <c r="F20" s="28" t="s">
        <v>30</v>
      </c>
    </row>
    <row r="21" spans="1:1" ht="22.5" customHeight="1">
      <c r="A21" s="28">
        <f>$E$3-B21</f>
        <v>960000.0</v>
      </c>
      <c r="B21" s="28">
        <f>C21</f>
        <v>640000.0</v>
      </c>
      <c r="C21" s="28">
        <f>E21*2/5</f>
        <v>640000.0</v>
      </c>
      <c r="D21" s="28" t="s">
        <v>221</v>
      </c>
      <c r="E21" s="28">
        <v>1600000.0</v>
      </c>
      <c r="F21" s="33">
        <v>1.0</v>
      </c>
    </row>
    <row r="22" spans="1:1" ht="22.5" customHeight="1">
      <c r="A22" s="28">
        <f>$E$3-B22</f>
        <v>576000.0</v>
      </c>
      <c r="B22" s="28">
        <f>B21+C22</f>
        <v>1024000.0</v>
      </c>
      <c r="C22" s="28">
        <f>(E22-B21)*2/5</f>
        <v>384000.0</v>
      </c>
      <c r="D22" s="28" t="s">
        <v>222</v>
      </c>
      <c r="E22" s="28">
        <v>1600000.0</v>
      </c>
      <c r="F22" s="33">
        <v>2.0</v>
      </c>
    </row>
    <row r="23" spans="1:1" ht="22.5" customHeight="1">
      <c r="A23" s="28">
        <f>$E$3-B23</f>
        <v>345600.0</v>
      </c>
      <c r="B23" s="28">
        <f>B22+C23</f>
        <v>1254400.0</v>
      </c>
      <c r="C23" s="28">
        <f>(E23-B22)*2/5</f>
        <v>230400.0</v>
      </c>
      <c r="D23" s="28" t="s">
        <v>223</v>
      </c>
      <c r="E23" s="28">
        <v>1600000.0</v>
      </c>
      <c r="F23" s="33">
        <v>3.0</v>
      </c>
    </row>
    <row r="24" spans="1:1" ht="22.5" customHeight="1">
      <c r="A24" s="28">
        <f>$E$3-B24</f>
        <v>207360.0</v>
      </c>
      <c r="B24" s="28">
        <f>B23+C24</f>
        <v>1392640.0</v>
      </c>
      <c r="C24" s="28">
        <f>(E24-B23)*2/5</f>
        <v>138240.0</v>
      </c>
      <c r="D24" s="28" t="s">
        <v>224</v>
      </c>
      <c r="E24" s="28">
        <v>1600000.0</v>
      </c>
      <c r="F24" s="33">
        <v>4.0</v>
      </c>
    </row>
    <row r="25" spans="1:1" ht="22.5" customHeight="1">
      <c r="A25" s="28">
        <f>$E$3-B25</f>
        <v>124416.0</v>
      </c>
      <c r="B25" s="28">
        <f>B24+C25</f>
        <v>1475584.0</v>
      </c>
      <c r="C25" s="28">
        <f>(E25-B24)*2/5</f>
        <v>82944.0</v>
      </c>
      <c r="D25" s="28" t="s">
        <v>225</v>
      </c>
      <c r="E25" s="28">
        <v>1600000.0</v>
      </c>
      <c r="F25" s="33">
        <v>5.0</v>
      </c>
    </row>
    <row r="26" spans="1:1" ht="18.75" customHeight="1"/>
    <row r="27" spans="1:1" ht="23.25" customHeight="1">
      <c r="A27" s="124">
        <f>E25*5/100</f>
        <v>80000.0</v>
      </c>
      <c r="B27" s="125" t="s">
        <v>226</v>
      </c>
    </row>
  </sheetData>
  <mergeCells count="3">
    <mergeCell ref="A1:F1"/>
    <mergeCell ref="A10:F10"/>
    <mergeCell ref="A19:F19"/>
  </mergeCells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showGridLines="1" workbookViewId="0" topLeftCell="D1">
      <selection activeCell="A1" sqref="A1"/>
    </sheetView>
  </sheetViews>
  <sheetFormatPr defaultRowHeight="15"/>
  <cols>
    <col min="1" max="1" width="10.90625" style="24" customWidth="1"/>
    <col min="2" max="2" width="17.08984375" style="24" customWidth="1"/>
    <col min="3" max="3" width="17.08984375" style="24" customWidth="1"/>
    <col min="4" max="4" width="27.08984375" style="24" customWidth="1"/>
    <col min="5" max="5" width="10.90625" style="24" customWidth="1"/>
    <col min="6" max="6" width="8.81640625" style="24" customWidth="1"/>
    <col min="7" max="256" width="8.7265625" style="24" customWidth="1"/>
  </cols>
  <sheetData>
    <row r="1" spans="1:8" ht="28.5" customHeight="1">
      <c r="A1" s="179" t="s">
        <v>37</v>
      </c>
      <c r="B1" s="179"/>
      <c r="C1" s="179"/>
      <c r="D1" s="179"/>
      <c r="E1" s="179"/>
      <c r="F1" s="179"/>
    </row>
    <row r="2" spans="1:8">
      <c r="A2" s="28" t="s">
        <v>23</v>
      </c>
      <c r="B2" s="28" t="s">
        <v>28</v>
      </c>
      <c r="C2" s="28" t="s">
        <v>38</v>
      </c>
      <c r="D2" s="28" t="s">
        <v>39</v>
      </c>
      <c r="E2" s="28" t="s">
        <v>25</v>
      </c>
      <c r="F2" s="28" t="s">
        <v>30</v>
      </c>
    </row>
    <row r="3" spans="1:8">
      <c r="A3" s="28">
        <f>$E$3-B3</f>
        <v>1.87E7</v>
      </c>
      <c r="B3" s="28">
        <f>C3</f>
        <v>3300000.0</v>
      </c>
      <c r="C3" s="28">
        <f>C4*9/12</f>
        <v>3300000.0</v>
      </c>
      <c r="D3" s="28" t="s">
        <v>40</v>
      </c>
      <c r="E3" s="28">
        <v>2.2E7</v>
      </c>
      <c r="F3" s="25">
        <v>1390.0</v>
      </c>
    </row>
    <row r="4" spans="1:8">
      <c r="A4" s="28">
        <f>$E$3-B4</f>
        <v>1.43E7</v>
      </c>
      <c r="B4" s="28">
        <f>B3+C4</f>
        <v>7700000.0</v>
      </c>
      <c r="C4" s="28">
        <v>4400000.0</v>
      </c>
      <c r="D4" s="28" t="s">
        <v>41</v>
      </c>
      <c r="E4" s="28">
        <v>2.2E7</v>
      </c>
      <c r="F4" s="25">
        <v>1391.0</v>
      </c>
      <c r="H4" s="24">
        <f>2.2E7/5</f>
        <v>4400000.0</v>
      </c>
    </row>
    <row r="5" spans="1:8">
      <c r="A5" s="28">
        <f>$E$3-B5</f>
        <v>9900000.0</v>
      </c>
      <c r="B5" s="28">
        <f>B4+C5</f>
        <v>1.21E7</v>
      </c>
      <c r="C5" s="28">
        <v>4400000.0</v>
      </c>
      <c r="D5" s="28" t="s">
        <v>41</v>
      </c>
      <c r="E5" s="28">
        <v>2.2E7</v>
      </c>
      <c r="F5" s="25">
        <v>1392.0</v>
      </c>
    </row>
    <row r="6" spans="1:8">
      <c r="A6" s="28">
        <f>$E$3-B6</f>
        <v>5500000.0</v>
      </c>
      <c r="B6" s="28">
        <f>B5+C6</f>
        <v>1.65E7</v>
      </c>
      <c r="C6" s="28">
        <v>4400000.0</v>
      </c>
      <c r="D6" s="28" t="s">
        <v>41</v>
      </c>
      <c r="E6" s="28">
        <v>2.2E7</v>
      </c>
      <c r="F6" s="25">
        <v>1393.0</v>
      </c>
    </row>
    <row r="7" spans="1:8">
      <c r="A7" s="28">
        <f>$E$3-B7</f>
        <v>1100000.0</v>
      </c>
      <c r="B7" s="28">
        <f>B6+C7</f>
        <v>2.09E7</v>
      </c>
      <c r="C7" s="28">
        <v>4400000.0</v>
      </c>
      <c r="D7" s="28" t="s">
        <v>41</v>
      </c>
      <c r="E7" s="28">
        <v>2.2E7</v>
      </c>
      <c r="F7" s="25">
        <v>1394.0</v>
      </c>
    </row>
    <row r="8" spans="1:8">
      <c r="A8" s="28">
        <f>$E$3-B8</f>
        <v>0.0</v>
      </c>
      <c r="B8" s="28">
        <f>B7+C8</f>
        <v>2.2E7</v>
      </c>
      <c r="C8" s="28">
        <f>C7*3/12</f>
        <v>1100000.0</v>
      </c>
      <c r="D8" s="28" t="s">
        <v>42</v>
      </c>
      <c r="E8" s="28">
        <v>2.2E7</v>
      </c>
      <c r="F8" s="25">
        <v>1395.0</v>
      </c>
    </row>
  </sheetData>
  <mergeCells count="1">
    <mergeCell ref="A1:F1"/>
  </mergeCells>
</worksheet>
</file>

<file path=xl/worksheets/sheet20.xml><?xml version="1.0" encoding="utf-8"?>
<worksheet xmlns="http://schemas.openxmlformats.org/spreadsheetml/2006/main" xmlns:r="http://schemas.openxmlformats.org/officeDocument/2006/relationships">
  <dimension ref="A1:G64"/>
  <sheetViews>
    <sheetView showGridLines="1" workbookViewId="0" topLeftCell="A52">
      <selection activeCell="A1" sqref="A1"/>
    </sheetView>
  </sheetViews>
  <sheetFormatPr defaultRowHeight="15"/>
  <cols>
    <col min="1" max="1" width="13.26953125" customWidth="1"/>
    <col min="2" max="2" width="10.54296875" customWidth="1"/>
    <col min="3" max="3" width="11.81640625" customWidth="1"/>
    <col min="4" max="4" width="28.7265625" customWidth="1"/>
    <col min="5" max="5" width="9.81640625" customWidth="1"/>
  </cols>
  <sheetData>
    <row r="1" spans="1:7" ht="28.5" customHeight="1">
      <c r="A1" s="179" t="s">
        <v>37</v>
      </c>
      <c r="B1" s="179"/>
      <c r="C1" s="179"/>
      <c r="D1" s="179"/>
      <c r="E1" s="179"/>
      <c r="F1" s="179"/>
    </row>
    <row r="2" spans="1:7" ht="22.5" customHeight="1">
      <c r="A2" s="28" t="s">
        <v>23</v>
      </c>
      <c r="B2" s="28" t="s">
        <v>28</v>
      </c>
      <c r="C2" s="28" t="s">
        <v>38</v>
      </c>
      <c r="D2" s="28" t="s">
        <v>39</v>
      </c>
      <c r="E2" s="28" t="s">
        <v>25</v>
      </c>
      <c r="F2" s="28" t="s">
        <v>30</v>
      </c>
    </row>
    <row r="3" spans="1:7" ht="22.5" customHeight="1">
      <c r="A3" s="28">
        <f>$E$3-B3</f>
        <v>3.35E8</v>
      </c>
      <c r="B3" s="28">
        <f>C3</f>
        <v>4.5E7</v>
      </c>
      <c r="C3" s="28">
        <f>(E3-2.0E7)/8</f>
        <v>4.5E7</v>
      </c>
      <c r="D3" s="28" t="s">
        <v>227</v>
      </c>
      <c r="E3" s="28">
        <v>3.8E8</v>
      </c>
      <c r="F3" s="103">
        <v>1395.0</v>
      </c>
    </row>
    <row r="4" spans="1:7" ht="22.5" customHeight="1">
      <c r="A4" s="28">
        <f>$E$3-B4</f>
        <v>2.9E8</v>
      </c>
      <c r="B4" s="28">
        <f>B3+C4</f>
        <v>9.0E7</v>
      </c>
      <c r="C4" s="28">
        <f>(E4-2.0E7)/8</f>
        <v>4.5E7</v>
      </c>
      <c r="D4" s="28" t="s">
        <v>227</v>
      </c>
      <c r="E4" s="28">
        <v>3.8E8</v>
      </c>
      <c r="F4" s="103">
        <v>1396.0</v>
      </c>
    </row>
    <row r="5" spans="1:7" ht="22.5" customHeight="1">
      <c r="A5" s="28">
        <f>$E$3-B5</f>
        <v>2.45E8</v>
      </c>
      <c r="B5" s="28">
        <f>B4+C5</f>
        <v>1.35E8</v>
      </c>
      <c r="C5" s="28">
        <f>(E5-2.0E7)/8</f>
        <v>4.5E7</v>
      </c>
      <c r="D5" s="28" t="s">
        <v>227</v>
      </c>
      <c r="E5" s="28">
        <v>3.8E8</v>
      </c>
      <c r="F5" s="103">
        <v>1397.0</v>
      </c>
    </row>
    <row r="6" spans="1:7" ht="22.5" customHeight="1">
      <c r="A6" s="28">
        <f>$E$3-B6</f>
        <v>2.0E8</v>
      </c>
      <c r="B6" s="28">
        <f>B5+C6</f>
        <v>1.8E8</v>
      </c>
      <c r="C6" s="28">
        <f>(E6-2.0E7)/8</f>
        <v>4.5E7</v>
      </c>
      <c r="D6" s="28" t="s">
        <v>227</v>
      </c>
      <c r="E6" s="28">
        <v>3.8E8</v>
      </c>
      <c r="F6" s="103">
        <v>1398.0</v>
      </c>
    </row>
    <row r="7" spans="1:7" ht="22.5" customHeight="1">
      <c r="A7" s="28">
        <f>$E$3-B7</f>
        <v>1.55E8</v>
      </c>
      <c r="B7" s="28">
        <f>B6+C7</f>
        <v>2.25E8</v>
      </c>
      <c r="C7" s="28">
        <f>(E7-2.0E7)/8</f>
        <v>4.5E7</v>
      </c>
      <c r="D7" s="28" t="s">
        <v>227</v>
      </c>
      <c r="E7" s="28">
        <v>3.8E8</v>
      </c>
      <c r="F7" s="103">
        <v>1399.0</v>
      </c>
    </row>
    <row r="8" spans="1:7" ht="22.5" customHeight="1">
      <c r="A8" s="28">
        <f>$E$3-B8</f>
        <v>1.1E8</v>
      </c>
      <c r="B8" s="28">
        <f>B7+C8</f>
        <v>2.7E8</v>
      </c>
      <c r="C8" s="28">
        <f>(E8-2.0E7)/8</f>
        <v>4.5E7</v>
      </c>
      <c r="D8" s="28" t="s">
        <v>227</v>
      </c>
      <c r="E8" s="28">
        <v>3.8E8</v>
      </c>
      <c r="F8" s="103">
        <v>1400.0</v>
      </c>
    </row>
    <row r="9" spans="1:7" ht="22.5" customHeight="1">
      <c r="A9" s="28">
        <f>$E$3-B9</f>
        <v>6.5E7</v>
      </c>
      <c r="B9" s="28">
        <f>B8+C9</f>
        <v>3.15E8</v>
      </c>
      <c r="C9" s="28">
        <f>(E9-2.0E7)/8</f>
        <v>4.5E7</v>
      </c>
      <c r="D9" s="28" t="s">
        <v>227</v>
      </c>
      <c r="E9" s="28">
        <v>3.8E8</v>
      </c>
      <c r="F9" s="103">
        <v>1401.0</v>
      </c>
    </row>
    <row r="10" spans="1:7" ht="22.5" customHeight="1">
      <c r="A10" s="28">
        <f>$E$3-B10</f>
        <v>2.0E7</v>
      </c>
      <c r="B10" s="28">
        <f>B9+C10</f>
        <v>3.6E8</v>
      </c>
      <c r="C10" s="28">
        <f>(E10-2.0E7)/8</f>
        <v>4.5E7</v>
      </c>
      <c r="D10" s="28" t="s">
        <v>227</v>
      </c>
      <c r="E10" s="28">
        <v>3.8E8</v>
      </c>
      <c r="F10" s="103">
        <v>1402.0</v>
      </c>
    </row>
    <row r="11" spans="1:7" ht="22.5" customHeight="1">
      <c r="A11" s="28">
        <f>A10</f>
        <v>2.0E7</v>
      </c>
      <c r="B11" s="83"/>
      <c r="C11" s="28">
        <f>SUM(C3:C10)</f>
        <v>3.6E8</v>
      </c>
      <c r="D11" s="203" t="s">
        <v>35</v>
      </c>
      <c r="E11" s="203"/>
      <c r="F11" s="203"/>
    </row>
    <row r="14" spans="1:7" ht="28.5" customHeight="1">
      <c r="A14" s="179" t="s">
        <v>228</v>
      </c>
      <c r="B14" s="179"/>
      <c r="C14" s="179"/>
      <c r="D14" s="179"/>
      <c r="E14" s="179"/>
      <c r="F14" s="179"/>
    </row>
    <row r="15" spans="1:7" ht="22.5" customHeight="1">
      <c r="A15" s="28" t="s">
        <v>23</v>
      </c>
      <c r="B15" s="28" t="s">
        <v>28</v>
      </c>
      <c r="C15" s="28" t="s">
        <v>38</v>
      </c>
      <c r="D15" s="28" t="s">
        <v>39</v>
      </c>
      <c r="E15" s="28" t="s">
        <v>25</v>
      </c>
      <c r="F15" s="28" t="s">
        <v>229</v>
      </c>
    </row>
    <row r="16" spans="1:7" ht="22.5" customHeight="1">
      <c r="A16" s="28">
        <f>$E$16-B16</f>
        <v>3.344E8</v>
      </c>
      <c r="B16" s="28">
        <f>C16</f>
        <v>4.56E7</v>
      </c>
      <c r="C16" s="28">
        <f>E16*12%</f>
        <v>4.56E7</v>
      </c>
      <c r="D16" s="28" t="s">
        <v>230</v>
      </c>
      <c r="E16" s="28">
        <v>3.8E8</v>
      </c>
      <c r="F16" s="103">
        <v>1395.0</v>
      </c>
    </row>
    <row r="17" spans="1:7" ht="22.5" customHeight="1">
      <c r="A17" s="28">
        <f>$E$16-B17</f>
        <v>2.94272E8</v>
      </c>
      <c r="B17" s="28">
        <f>B16+C17</f>
        <v>8.5728E7</v>
      </c>
      <c r="C17" s="28">
        <f>(E17-B16)*12%</f>
        <v>4.0128E7</v>
      </c>
      <c r="D17" s="28" t="s">
        <v>231</v>
      </c>
      <c r="E17" s="28">
        <v>3.8E8</v>
      </c>
      <c r="F17" s="103">
        <v>1396.0</v>
      </c>
    </row>
    <row r="18" spans="1:7" ht="22.5" customHeight="1">
      <c r="A18" s="28">
        <f>$E$16-B18</f>
        <v>2.5895936E8</v>
      </c>
      <c r="B18" s="28">
        <f>B17+C18</f>
        <v>1.2104064E8</v>
      </c>
      <c r="C18" s="28">
        <f>(E18-B17)*12%</f>
        <v>3.531264E7</v>
      </c>
      <c r="D18" s="28" t="s">
        <v>232</v>
      </c>
      <c r="E18" s="28">
        <v>3.8E8</v>
      </c>
      <c r="F18" s="103">
        <v>1397.0</v>
      </c>
    </row>
    <row r="19" spans="1:7" ht="22.5" customHeight="1">
      <c r="A19" s="28">
        <f>$E$16-B19</f>
        <v>2.278842368E8</v>
      </c>
      <c r="B19" s="28">
        <f>B18+C19</f>
        <v>1.521157632E8</v>
      </c>
      <c r="C19" s="28">
        <f>(E19-B18)*12%</f>
        <v>3.10751232E7</v>
      </c>
      <c r="D19" s="28" t="s">
        <v>233</v>
      </c>
      <c r="E19" s="28">
        <v>3.8E8</v>
      </c>
      <c r="F19" s="103">
        <v>1398.0</v>
      </c>
    </row>
    <row r="20" spans="1:7" ht="22.5" customHeight="1">
      <c r="A20" s="28">
        <f>$E$16-B20</f>
        <v>2.00538128384E8</v>
      </c>
      <c r="B20" s="28">
        <f>B19+C20</f>
        <v>1.79461871616E8</v>
      </c>
      <c r="C20" s="28">
        <f>(E20-B19)*12%</f>
        <v>2.7346108416E7</v>
      </c>
      <c r="D20" s="28" t="s">
        <v>234</v>
      </c>
      <c r="E20" s="28">
        <v>3.8E8</v>
      </c>
      <c r="F20" s="103">
        <v>1399.0</v>
      </c>
    </row>
    <row r="21" spans="1:7" ht="22.5" customHeight="1">
      <c r="A21" s="28">
        <f>$E$16-B21</f>
        <v>1.7647355297792E8</v>
      </c>
      <c r="B21" s="28">
        <f>B20+C21</f>
        <v>2.0352644702208E8</v>
      </c>
      <c r="C21" s="28">
        <f>(E21-B20)*12%</f>
        <v>2.406457540608E7</v>
      </c>
      <c r="D21" s="28" t="s">
        <v>235</v>
      </c>
      <c r="E21" s="28">
        <v>3.8E8</v>
      </c>
      <c r="F21" s="103">
        <v>1400.0</v>
      </c>
    </row>
    <row r="22" spans="1:7" ht="22.5" customHeight="1">
      <c r="A22" s="28">
        <f>$E$16-B22</f>
        <v>1.552967266205696E8</v>
      </c>
      <c r="B22" s="28">
        <f>B21+C22</f>
        <v>2.247032733794304E8</v>
      </c>
      <c r="C22" s="28">
        <f>(E22-B21)*12%</f>
        <v>2.1176826357350398E7</v>
      </c>
      <c r="D22" s="28" t="s">
        <v>236</v>
      </c>
      <c r="E22" s="28">
        <v>3.8E8</v>
      </c>
      <c r="F22" s="103">
        <v>1401.0</v>
      </c>
    </row>
    <row r="23" spans="1:7" ht="22.5" customHeight="1">
      <c r="A23" s="28">
        <f>$E$16-B23</f>
        <v>1.3666111942610124E8</v>
      </c>
      <c r="B23" s="28">
        <f>B22+C23</f>
        <v>2.4333888057389876E8</v>
      </c>
      <c r="C23" s="28">
        <f>(E23-B22)*12%</f>
        <v>1.863560719446835E7</v>
      </c>
      <c r="D23" s="28" t="s">
        <v>237</v>
      </c>
      <c r="E23" s="28">
        <v>3.8E8</v>
      </c>
      <c r="F23" s="103">
        <v>1402.0</v>
      </c>
    </row>
    <row r="24" spans="1:7" ht="22.5" customHeight="1">
      <c r="A24" s="28">
        <f>A23</f>
        <v>1.3666111942610124E8</v>
      </c>
      <c r="B24" s="83"/>
      <c r="C24" s="28">
        <f>SUM(C16:C23)</f>
        <v>2.4333888057389876E8</v>
      </c>
      <c r="D24" s="203" t="s">
        <v>35</v>
      </c>
      <c r="E24" s="203"/>
      <c r="F24" s="203"/>
      <c r="G24" s="126"/>
    </row>
    <row r="25" spans="1:7" ht="18.75" customHeight="1"/>
    <row r="26" spans="1:7" ht="23.25" customHeight="1">
      <c r="A26" s="124">
        <f>E22*5/100</f>
        <v>1.9E7</v>
      </c>
      <c r="B26" s="125" t="s">
        <v>226</v>
      </c>
    </row>
    <row r="29" spans="1:7" ht="28.5" customHeight="1">
      <c r="A29" s="179" t="s">
        <v>214</v>
      </c>
      <c r="B29" s="179"/>
      <c r="C29" s="179"/>
      <c r="D29" s="179"/>
      <c r="E29" s="179"/>
      <c r="F29" s="179"/>
    </row>
    <row r="30" spans="1:7" ht="22.5" customHeight="1">
      <c r="A30" s="28" t="s">
        <v>23</v>
      </c>
      <c r="B30" s="28" t="s">
        <v>28</v>
      </c>
      <c r="C30" s="28" t="s">
        <v>38</v>
      </c>
      <c r="D30" s="28" t="s">
        <v>39</v>
      </c>
      <c r="E30" s="28" t="s">
        <v>25</v>
      </c>
      <c r="F30" s="28" t="s">
        <v>30</v>
      </c>
      <c r="G30" s="28" t="s">
        <v>30</v>
      </c>
    </row>
    <row r="31" spans="1:7" ht="22.5" customHeight="1">
      <c r="A31" s="28">
        <f>$E$16-B31</f>
        <v>3.0E8</v>
      </c>
      <c r="B31" s="28">
        <f>C31</f>
        <v>8.0E7</v>
      </c>
      <c r="C31" s="28">
        <f>SYD(3.8E8,2.0E7,8,F31)</f>
        <v>8.0E7</v>
      </c>
      <c r="D31" s="28" t="s">
        <v>238</v>
      </c>
      <c r="E31" s="28">
        <v>3.8E8</v>
      </c>
      <c r="F31" s="33">
        <v>1.0</v>
      </c>
      <c r="G31" s="103">
        <v>1395.0</v>
      </c>
    </row>
    <row r="32" spans="1:7" ht="22.5" customHeight="1">
      <c r="A32" s="28">
        <f>$E$16-B32</f>
        <v>2.3E8</v>
      </c>
      <c r="B32" s="28">
        <f>B31+C32</f>
        <v>1.5E8</v>
      </c>
      <c r="C32" s="28">
        <f>SYD(3.8E8,2.0E7,8,F32)</f>
        <v>7.0E7</v>
      </c>
      <c r="D32" s="28" t="s">
        <v>239</v>
      </c>
      <c r="E32" s="28">
        <v>3.8E8</v>
      </c>
      <c r="F32" s="33">
        <v>2.0</v>
      </c>
      <c r="G32" s="103">
        <v>1396.0</v>
      </c>
    </row>
    <row r="33" spans="1:7" ht="22.5" customHeight="1">
      <c r="A33" s="28">
        <f>$E$16-B33</f>
        <v>1.7E8</v>
      </c>
      <c r="B33" s="28">
        <f>B32+C33</f>
        <v>2.1E8</v>
      </c>
      <c r="C33" s="28">
        <f>SYD(3.8E8,2.0E7,8,F33)</f>
        <v>6.0E7</v>
      </c>
      <c r="D33" s="28" t="s">
        <v>240</v>
      </c>
      <c r="E33" s="28">
        <v>3.8E8</v>
      </c>
      <c r="F33" s="33">
        <v>3.0</v>
      </c>
      <c r="G33" s="103">
        <v>1397.0</v>
      </c>
    </row>
    <row r="34" spans="1:7" ht="22.5" customHeight="1">
      <c r="A34" s="28">
        <f>$E$16-B34</f>
        <v>1.2E8</v>
      </c>
      <c r="B34" s="28">
        <f>B33+C34</f>
        <v>2.6E8</v>
      </c>
      <c r="C34" s="28">
        <f>SYD(3.8E8,2.0E7,8,F34)</f>
        <v>5.0E7</v>
      </c>
      <c r="D34" s="28" t="s">
        <v>241</v>
      </c>
      <c r="E34" s="28">
        <v>3.8E8</v>
      </c>
      <c r="F34" s="33">
        <v>4.0</v>
      </c>
      <c r="G34" s="103">
        <v>1398.0</v>
      </c>
    </row>
    <row r="35" spans="1:7" ht="22.5" customHeight="1">
      <c r="A35" s="28">
        <f>$E$16-B35</f>
        <v>8.0E7</v>
      </c>
      <c r="B35" s="28">
        <f>B34+C35</f>
        <v>3.0E8</v>
      </c>
      <c r="C35" s="28">
        <f>SYD(3.8E8,2.0E7,8,F35)</f>
        <v>4.0E7</v>
      </c>
      <c r="D35" s="28" t="s">
        <v>242</v>
      </c>
      <c r="E35" s="28">
        <v>3.8E8</v>
      </c>
      <c r="F35" s="33">
        <v>5.0</v>
      </c>
      <c r="G35" s="103">
        <v>1399.0</v>
      </c>
    </row>
    <row r="36" spans="1:7" ht="22.5" customHeight="1">
      <c r="A36" s="28">
        <f>$E$16-B36</f>
        <v>5.0E7</v>
      </c>
      <c r="B36" s="28">
        <f>B35+C36</f>
        <v>3.3E8</v>
      </c>
      <c r="C36" s="28">
        <f>SYD(3.8E8,2.0E7,8,F36)</f>
        <v>3.0E7</v>
      </c>
      <c r="D36" s="28" t="s">
        <v>243</v>
      </c>
      <c r="E36" s="28">
        <v>3.8E8</v>
      </c>
      <c r="F36" s="33">
        <v>6.0</v>
      </c>
      <c r="G36" s="103">
        <v>1400.0</v>
      </c>
    </row>
    <row r="37" spans="1:7" ht="22.5" customHeight="1">
      <c r="A37" s="28">
        <f>$E$16-B37</f>
        <v>3.0E7</v>
      </c>
      <c r="B37" s="28">
        <f>B36+C37</f>
        <v>3.5E8</v>
      </c>
      <c r="C37" s="28">
        <f>SYD(3.8E8,2.0E7,8,F37)</f>
        <v>2.0E7</v>
      </c>
      <c r="D37" s="28" t="s">
        <v>244</v>
      </c>
      <c r="E37" s="28">
        <v>3.8E8</v>
      </c>
      <c r="F37" s="33">
        <v>7.0</v>
      </c>
      <c r="G37" s="103">
        <v>1401.0</v>
      </c>
    </row>
    <row r="38" spans="1:7" ht="22.5" customHeight="1">
      <c r="A38" s="28">
        <f>$E$16-B38</f>
        <v>2.0E7</v>
      </c>
      <c r="B38" s="28">
        <f>B37+C38</f>
        <v>3.6E8</v>
      </c>
      <c r="C38" s="28">
        <f>SYD(3.8E8,2.0E7,8,F38)</f>
        <v>1.0E7</v>
      </c>
      <c r="D38" s="28" t="s">
        <v>245</v>
      </c>
      <c r="E38" s="28">
        <v>3.8E8</v>
      </c>
      <c r="F38" s="33">
        <v>8.0</v>
      </c>
      <c r="G38" s="103">
        <v>1402.0</v>
      </c>
    </row>
    <row r="39" spans="1:7" ht="22.5" customHeight="1">
      <c r="A39" s="28">
        <f>A38</f>
        <v>2.0E7</v>
      </c>
      <c r="B39" s="83"/>
      <c r="C39" s="28">
        <f>SUM(C31:C38)</f>
        <v>3.6E8</v>
      </c>
      <c r="D39" s="203" t="s">
        <v>35</v>
      </c>
      <c r="E39" s="203"/>
      <c r="F39" s="203"/>
    </row>
    <row r="42" spans="1:7" ht="28.5" customHeight="1">
      <c r="A42" s="179" t="s">
        <v>145</v>
      </c>
      <c r="B42" s="179"/>
      <c r="C42" s="179"/>
      <c r="D42" s="179"/>
      <c r="E42" s="179"/>
      <c r="F42" s="179"/>
    </row>
    <row r="43" spans="1:7" ht="22.5" customHeight="1">
      <c r="A43" s="28" t="s">
        <v>23</v>
      </c>
      <c r="B43" s="28" t="s">
        <v>28</v>
      </c>
      <c r="C43" s="28" t="s">
        <v>38</v>
      </c>
      <c r="D43" s="28" t="s">
        <v>39</v>
      </c>
      <c r="E43" s="28" t="s">
        <v>25</v>
      </c>
      <c r="F43" s="28" t="s">
        <v>30</v>
      </c>
    </row>
    <row r="44" spans="1:7" ht="22.5" customHeight="1">
      <c r="A44" s="28">
        <f>$E$16-B44</f>
        <v>2.85E8</v>
      </c>
      <c r="B44" s="28">
        <f>C44</f>
        <v>9.5E7</v>
      </c>
      <c r="C44" s="28">
        <f>E44*2/8</f>
        <v>9.5E7</v>
      </c>
      <c r="D44" s="28" t="s">
        <v>246</v>
      </c>
      <c r="E44" s="28">
        <v>3.8E8</v>
      </c>
      <c r="F44" s="103">
        <v>1395.0</v>
      </c>
    </row>
    <row r="45" spans="1:7" ht="22.5" customHeight="1">
      <c r="A45" s="28">
        <f>$E$16-B45</f>
        <v>2.1375E8</v>
      </c>
      <c r="B45" s="28">
        <f>B44+C45</f>
        <v>1.6625E8</v>
      </c>
      <c r="C45" s="28">
        <f>(E45-B44)*2/8</f>
        <v>7.125E7</v>
      </c>
      <c r="D45" s="28" t="s">
        <v>247</v>
      </c>
      <c r="E45" s="28">
        <v>3.8E8</v>
      </c>
      <c r="F45" s="103">
        <v>1396.0</v>
      </c>
    </row>
    <row r="46" spans="1:7" ht="22.5" customHeight="1">
      <c r="A46" s="28">
        <f>$E$16-B46</f>
        <v>1.603125E8</v>
      </c>
      <c r="B46" s="28">
        <f>B45+C46</f>
        <v>2.196875E8</v>
      </c>
      <c r="C46" s="28">
        <f>(E46-B45)*2/8</f>
        <v>5.34375E7</v>
      </c>
      <c r="D46" s="28" t="s">
        <v>248</v>
      </c>
      <c r="E46" s="28">
        <v>3.8E8</v>
      </c>
      <c r="F46" s="103">
        <v>1397.0</v>
      </c>
    </row>
    <row r="47" spans="1:7" ht="22.5" customHeight="1">
      <c r="A47" s="28">
        <f>$E$16-B47</f>
        <v>1.20234375E8</v>
      </c>
      <c r="B47" s="28">
        <f>B46+C47</f>
        <v>2.59765625E8</v>
      </c>
      <c r="C47" s="28">
        <f>(E47-B46)*2/8</f>
        <v>4.0078125E7</v>
      </c>
      <c r="D47" s="28" t="s">
        <v>249</v>
      </c>
      <c r="E47" s="28">
        <v>3.8E8</v>
      </c>
      <c r="F47" s="103">
        <v>1398.0</v>
      </c>
    </row>
    <row r="48" spans="1:7" ht="22.5" customHeight="1">
      <c r="A48" s="28">
        <f>$E$16-B48</f>
        <v>9.017578125E7</v>
      </c>
      <c r="B48" s="28">
        <f>B47+C48</f>
        <v>2.8982421875E8</v>
      </c>
      <c r="C48" s="28">
        <f>(E48-B47)*2/8</f>
        <v>3.005859375E7</v>
      </c>
      <c r="D48" s="28" t="s">
        <v>250</v>
      </c>
      <c r="E48" s="28">
        <v>3.8E8</v>
      </c>
      <c r="F48" s="103">
        <v>1399.0</v>
      </c>
    </row>
    <row r="49" spans="1:7" ht="22.5" customHeight="1">
      <c r="A49" s="28">
        <f>$E$16-B49</f>
        <v>6.76318359375E7</v>
      </c>
      <c r="B49" s="28">
        <f>B48+C49</f>
        <v>3.123681640625E8</v>
      </c>
      <c r="C49" s="28">
        <f>(E49-B48)*2/8</f>
        <v>2.25439453125E7</v>
      </c>
      <c r="D49" s="28" t="s">
        <v>251</v>
      </c>
      <c r="E49" s="28">
        <v>3.8E8</v>
      </c>
      <c r="F49" s="103">
        <v>1400.0</v>
      </c>
    </row>
    <row r="50" spans="1:7" ht="22.5" customHeight="1">
      <c r="A50" s="28">
        <f>$E$16-B50</f>
        <v>5.0723876953125E7</v>
      </c>
      <c r="B50" s="28">
        <f>B49+C50</f>
        <v>3.29276123046875E8</v>
      </c>
      <c r="C50" s="28">
        <f>(E50-B49)*2/8</f>
        <v>1.6907958984375E7</v>
      </c>
      <c r="D50" s="28" t="s">
        <v>252</v>
      </c>
      <c r="E50" s="28">
        <v>3.8E8</v>
      </c>
      <c r="F50" s="103">
        <v>1401.0</v>
      </c>
    </row>
    <row r="51" spans="1:7" ht="22.5" customHeight="1">
      <c r="A51" s="28">
        <f>$E$16-B51</f>
        <v>3.804290771484375E7</v>
      </c>
      <c r="B51" s="28">
        <f>B50+C51</f>
        <v>3.4195709228515625E8</v>
      </c>
      <c r="C51" s="28">
        <f>(E51-B50)*2/8</f>
        <v>1.268096923828125E7</v>
      </c>
      <c r="D51" s="28" t="s">
        <v>253</v>
      </c>
      <c r="E51" s="28">
        <v>3.8E8</v>
      </c>
      <c r="F51" s="103">
        <v>1402.0</v>
      </c>
    </row>
    <row r="52" spans="1:7" ht="22.5" customHeight="1">
      <c r="A52" s="28">
        <f>A51</f>
        <v>3.804290771484375E7</v>
      </c>
      <c r="B52" s="83"/>
      <c r="C52" s="28">
        <f>SUM(C44:C51)</f>
        <v>3.4195709228515625E8</v>
      </c>
      <c r="D52" s="203" t="s">
        <v>35</v>
      </c>
      <c r="E52" s="203"/>
      <c r="F52" s="203"/>
    </row>
    <row r="55" spans="1:7" ht="28.5" customHeight="1">
      <c r="A55" s="179" t="s">
        <v>254</v>
      </c>
      <c r="B55" s="179"/>
      <c r="C55" s="179"/>
      <c r="D55" s="179"/>
      <c r="E55" s="179"/>
      <c r="F55" s="179"/>
    </row>
    <row r="56" spans="1:7" ht="22.5" customHeight="1">
      <c r="A56" s="28" t="s">
        <v>23</v>
      </c>
      <c r="B56" s="28" t="s">
        <v>28</v>
      </c>
      <c r="C56" s="28" t="s">
        <v>38</v>
      </c>
      <c r="D56" s="28" t="s">
        <v>39</v>
      </c>
      <c r="E56" s="28" t="s">
        <v>25</v>
      </c>
      <c r="F56" s="28" t="s">
        <v>30</v>
      </c>
    </row>
    <row r="57" spans="1:7" ht="22.5" customHeight="1">
      <c r="A57" s="28">
        <f>$E$16-B57</f>
        <v>3.24E8</v>
      </c>
      <c r="B57" s="28">
        <f>C57</f>
        <v>5.6E7</v>
      </c>
      <c r="C57" s="28">
        <f>(E57-2.0E7)*14000/90000.0</f>
        <v>5.6E7</v>
      </c>
      <c r="D57" s="28"/>
      <c r="E57" s="28">
        <v>3.8E8</v>
      </c>
      <c r="F57" s="103">
        <v>1395.0</v>
      </c>
    </row>
    <row r="58" spans="1:7" ht="22.5" customHeight="1">
      <c r="A58" s="28">
        <f>$E$16-B58</f>
        <v>2.78E8</v>
      </c>
      <c r="B58" s="28">
        <f>B57+C58</f>
        <v>1.02E8</v>
      </c>
      <c r="C58" s="28">
        <f>(E58-2.0E7)*11500/90000.0</f>
        <v>4.6E7</v>
      </c>
      <c r="D58" s="28"/>
      <c r="E58" s="28">
        <v>3.8E8</v>
      </c>
      <c r="F58" s="103">
        <v>1396.0</v>
      </c>
    </row>
    <row r="61" spans="1:7" ht="28.5" customHeight="1">
      <c r="A61" s="179" t="s">
        <v>255</v>
      </c>
      <c r="B61" s="179"/>
      <c r="C61" s="179"/>
      <c r="D61" s="179"/>
      <c r="E61" s="179"/>
      <c r="F61" s="179"/>
    </row>
    <row r="62" spans="1:7" ht="22.5" customHeight="1">
      <c r="A62" s="28" t="s">
        <v>23</v>
      </c>
      <c r="B62" s="28" t="s">
        <v>28</v>
      </c>
      <c r="C62" s="28" t="s">
        <v>38</v>
      </c>
      <c r="D62" s="28" t="s">
        <v>39</v>
      </c>
      <c r="E62" s="28" t="s">
        <v>25</v>
      </c>
      <c r="F62" s="28" t="s">
        <v>30</v>
      </c>
    </row>
    <row r="63" spans="1:7" ht="22.5" customHeight="1">
      <c r="A63" s="28">
        <f>$E$16-B63</f>
        <v>3.275E8</v>
      </c>
      <c r="B63" s="28">
        <f>C63</f>
        <v>5.25E7</v>
      </c>
      <c r="C63" s="28">
        <f>(E63-2.0E7)*10500/72000.0</f>
        <v>5.25E7</v>
      </c>
      <c r="D63" s="28"/>
      <c r="E63" s="28">
        <v>3.8E8</v>
      </c>
      <c r="F63" s="103">
        <v>1395.0</v>
      </c>
    </row>
    <row r="64" spans="1:7" ht="22.5" customHeight="1">
      <c r="A64" s="28">
        <f>$E$16-B64</f>
        <v>2.785E8</v>
      </c>
      <c r="B64" s="28">
        <f>B63+C64</f>
        <v>1.015E8</v>
      </c>
      <c r="C64" s="28">
        <f>(E64-2.0E7)*9800/72000.0</f>
        <v>4.9E7</v>
      </c>
      <c r="D64" s="28"/>
      <c r="E64" s="28">
        <v>3.8E8</v>
      </c>
      <c r="F64" s="103">
        <v>1396.0</v>
      </c>
    </row>
  </sheetData>
  <mergeCells count="10">
    <mergeCell ref="A1:F1"/>
    <mergeCell ref="D11:F11"/>
    <mergeCell ref="A14:F14"/>
    <mergeCell ref="D24:F24"/>
    <mergeCell ref="A29:F29"/>
    <mergeCell ref="D39:F39"/>
    <mergeCell ref="A42:F42"/>
    <mergeCell ref="D52:F52"/>
    <mergeCell ref="A55:F55"/>
    <mergeCell ref="A61:F61"/>
  </mergeCells>
</worksheet>
</file>

<file path=xl/worksheets/sheet21.xml><?xml version="1.0" encoding="utf-8"?>
<worksheet xmlns="http://schemas.openxmlformats.org/spreadsheetml/2006/main" xmlns:r="http://schemas.openxmlformats.org/officeDocument/2006/relationships">
  <dimension ref="A1:H13"/>
  <sheetViews>
    <sheetView showGridLines="1" workbookViewId="0" topLeftCell="A1">
      <selection activeCell="A1" sqref="A1"/>
    </sheetView>
  </sheetViews>
  <sheetFormatPr defaultRowHeight="15"/>
  <cols>
    <col min="1" max="1" width="10.08984375" style="24" customWidth="1"/>
    <col min="2" max="2" width="8.81640625" style="24" customWidth="1"/>
    <col min="3" max="3" width="12.6328125" style="24" customWidth="1"/>
    <col min="4" max="4" width="14.453125" style="24" customWidth="1"/>
    <col min="5" max="5" width="8.90625" style="24" customWidth="1"/>
    <col min="6" max="6" width="6.453125" style="24" customWidth="1"/>
    <col min="7" max="7" width="10.90625" style="24" customWidth="1"/>
    <col min="8" max="8" width="9.08984375" style="24" customWidth="1"/>
    <col min="9" max="256" width="8.7265625" style="24" customWidth="1"/>
  </cols>
  <sheetData>
    <row r="1" spans="1:8">
      <c r="A1" s="204" t="s">
        <v>256</v>
      </c>
      <c r="B1" s="204"/>
      <c r="C1" s="204"/>
      <c r="D1" s="204"/>
      <c r="E1" s="204"/>
      <c r="F1" s="204"/>
      <c r="G1" s="204"/>
      <c r="H1" s="204"/>
    </row>
    <row r="2" spans="1:8" ht="24.0" customHeight="1">
      <c r="A2" s="127" t="s">
        <v>69</v>
      </c>
      <c r="B2" s="127" t="s">
        <v>92</v>
      </c>
      <c r="C2" s="127" t="s">
        <v>257</v>
      </c>
      <c r="D2" s="127" t="s">
        <v>258</v>
      </c>
      <c r="E2" s="127" t="s">
        <v>71</v>
      </c>
      <c r="F2" s="127" t="s">
        <v>259</v>
      </c>
      <c r="G2" s="127" t="s">
        <v>25</v>
      </c>
      <c r="H2" s="127" t="s">
        <v>73</v>
      </c>
    </row>
    <row r="3" spans="1:8" ht="24.0" customHeight="1">
      <c r="A3" s="78">
        <f>G3/F3*C3/12</f>
        <v>500000.0</v>
      </c>
      <c r="B3" s="28" t="s">
        <v>260</v>
      </c>
      <c r="C3" s="28">
        <v>5.0</v>
      </c>
      <c r="D3" s="28" t="s">
        <v>209</v>
      </c>
      <c r="E3" s="28" t="s">
        <v>261</v>
      </c>
      <c r="F3" s="28">
        <v>10.0</v>
      </c>
      <c r="G3" s="28">
        <v>1.2E7</v>
      </c>
      <c r="H3" s="127" t="s">
        <v>262</v>
      </c>
    </row>
    <row r="4" spans="1:8" ht="24.0" customHeight="1">
      <c r="A4" s="78">
        <f>G4*B4*8/12*30%</f>
        <v>1080000.0</v>
      </c>
      <c r="B4" s="65">
        <v>0.12</v>
      </c>
      <c r="C4" s="28">
        <v>8.0</v>
      </c>
      <c r="D4" s="28" t="s">
        <v>263</v>
      </c>
      <c r="E4" s="28" t="s">
        <v>261</v>
      </c>
      <c r="F4" s="28" t="s">
        <v>260</v>
      </c>
      <c r="G4" s="28">
        <v>4.5E7</v>
      </c>
      <c r="H4" s="127" t="s">
        <v>264</v>
      </c>
    </row>
    <row r="5" spans="1:8" ht="24.0" customHeight="1">
      <c r="A5" s="28">
        <v>412500.0</v>
      </c>
      <c r="B5" s="28" t="s">
        <v>260</v>
      </c>
      <c r="C5" s="28">
        <v>9.0</v>
      </c>
      <c r="D5" s="28" t="s">
        <v>209</v>
      </c>
      <c r="E5" s="28">
        <v>500000.0</v>
      </c>
      <c r="F5" s="28">
        <v>10.0</v>
      </c>
      <c r="G5" s="78">
        <f>A5*12/C5*F5</f>
        <v>5500000.0</v>
      </c>
      <c r="H5" s="127" t="s">
        <v>94</v>
      </c>
    </row>
    <row r="6" spans="1:8" ht="24.0" customHeight="1">
      <c r="A6" s="28">
        <v>1550000.0</v>
      </c>
      <c r="B6" s="28" t="s">
        <v>260</v>
      </c>
      <c r="C6" s="28">
        <v>12.0</v>
      </c>
      <c r="D6" s="28" t="s">
        <v>209</v>
      </c>
      <c r="E6" s="28" t="s">
        <v>261</v>
      </c>
      <c r="F6" s="78">
        <f>G6/A6</f>
        <v>4.0</v>
      </c>
      <c r="G6" s="28">
        <v>6200000.0</v>
      </c>
      <c r="H6" s="127" t="s">
        <v>265</v>
      </c>
    </row>
    <row r="7" spans="1:8" ht="24.0" customHeight="1">
      <c r="A7" s="78">
        <f>(G7-E7)*6/20*C7/12</f>
        <v>1575000.0</v>
      </c>
      <c r="B7" s="28" t="s">
        <v>260</v>
      </c>
      <c r="C7" s="28">
        <v>9.0</v>
      </c>
      <c r="D7" s="28" t="s">
        <v>208</v>
      </c>
      <c r="E7" s="28">
        <v>400000.0</v>
      </c>
      <c r="F7" s="28">
        <v>6.0</v>
      </c>
      <c r="G7" s="28">
        <v>7400000.0</v>
      </c>
      <c r="H7" s="127" t="s">
        <v>14</v>
      </c>
    </row>
    <row r="9" spans="1:8">
      <c r="A9" s="86"/>
      <c r="B9" s="24">
        <f>G6/A6</f>
        <v>4.0</v>
      </c>
    </row>
    <row r="13" spans="1:8">
      <c r="E13" s="86"/>
    </row>
  </sheetData>
  <mergeCells count="1">
    <mergeCell ref="A1:H1"/>
  </mergeCells>
</worksheet>
</file>

<file path=xl/worksheets/sheet22.xml><?xml version="1.0" encoding="utf-8"?>
<worksheet xmlns="http://schemas.openxmlformats.org/spreadsheetml/2006/main" xmlns:r="http://schemas.openxmlformats.org/officeDocument/2006/relationships">
  <dimension ref="A1:L9"/>
  <sheetViews>
    <sheetView showGridLines="1" workbookViewId="0" topLeftCell="A1">
      <selection activeCell="A1" sqref="A1"/>
    </sheetView>
  </sheetViews>
  <sheetFormatPr defaultRowHeight="15"/>
  <cols>
    <col min="1" max="1" width="11.54296875" customWidth="1"/>
    <col min="2" max="2" width="9.54296875" customWidth="1"/>
    <col min="5" max="5" width="11.26953125" customWidth="1"/>
    <col min="6" max="6" width="9.54296875" customWidth="1"/>
    <col min="7" max="7" width="10.453125" customWidth="1"/>
    <col min="10" max="10" width="11.90625" customWidth="1"/>
    <col min="11" max="11" width="11.7265625" customWidth="1"/>
  </cols>
  <sheetData>
    <row r="1" spans="1:12" ht="28.5" customHeight="1">
      <c r="A1" s="199" t="s">
        <v>266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30.75" customHeight="1">
      <c r="A2" s="208" t="s">
        <v>267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ht="24.0" customHeight="1">
      <c r="A3" s="134" t="s">
        <v>23</v>
      </c>
      <c r="B3" s="205" t="s">
        <v>28</v>
      </c>
      <c r="C3" s="206"/>
      <c r="D3" s="206"/>
      <c r="E3" s="206"/>
      <c r="F3" s="207"/>
      <c r="G3" s="205" t="s">
        <v>25</v>
      </c>
      <c r="H3" s="206"/>
      <c r="I3" s="206"/>
      <c r="J3" s="206"/>
      <c r="K3" s="207"/>
      <c r="L3" s="209" t="s">
        <v>268</v>
      </c>
    </row>
    <row r="4" spans="1:12" ht="67.5" customHeight="1">
      <c r="A4" s="135" t="s">
        <v>269</v>
      </c>
      <c r="B4" s="136" t="s">
        <v>270</v>
      </c>
      <c r="C4" s="137" t="s">
        <v>271</v>
      </c>
      <c r="D4" s="137" t="s">
        <v>272</v>
      </c>
      <c r="E4" s="137" t="s">
        <v>98</v>
      </c>
      <c r="F4" s="138" t="s">
        <v>273</v>
      </c>
      <c r="G4" s="136" t="s">
        <v>274</v>
      </c>
      <c r="H4" s="137" t="s">
        <v>271</v>
      </c>
      <c r="I4" s="137" t="s">
        <v>275</v>
      </c>
      <c r="J4" s="137" t="s">
        <v>276</v>
      </c>
      <c r="K4" s="138" t="s">
        <v>273</v>
      </c>
      <c r="L4" s="135"/>
    </row>
    <row r="5" spans="1:12" ht="42.0" customHeight="1">
      <c r="A5" s="128">
        <f>G5-B5</f>
        <v>4.802365333333333E8</v>
      </c>
      <c r="B5" s="129">
        <f>F5+E5</f>
        <v>2.0143466666666664E7</v>
      </c>
      <c r="C5" s="36"/>
      <c r="D5" s="36"/>
      <c r="E5" s="57">
        <f>(K5/15)+(J5/25*8/12)</f>
        <v>1.8143466666666664E7</v>
      </c>
      <c r="F5" s="130">
        <v>2000000.0</v>
      </c>
      <c r="G5" s="129">
        <f>K5+J5</f>
        <v>5.0038E8</v>
      </c>
      <c r="H5" s="36"/>
      <c r="I5" s="36"/>
      <c r="J5" s="57">
        <v>3.8038E8</v>
      </c>
      <c r="K5" s="130">
        <v>1.2E8</v>
      </c>
      <c r="L5" s="139" t="s">
        <v>65</v>
      </c>
    </row>
    <row r="6" spans="1:12" ht="42.0" customHeight="1">
      <c r="A6" s="128">
        <f>G6-B6</f>
        <v>5.6355E7</v>
      </c>
      <c r="B6" s="129">
        <f>F6+E6</f>
        <v>2.3645E7</v>
      </c>
      <c r="C6" s="36"/>
      <c r="D6" s="36"/>
      <c r="E6" s="57">
        <f>(K6-F6)*15%</f>
        <v>9945000.0</v>
      </c>
      <c r="F6" s="130">
        <v>1.37E7</v>
      </c>
      <c r="G6" s="129">
        <f>K6+J6</f>
        <v>8.0E7</v>
      </c>
      <c r="H6" s="36"/>
      <c r="I6" s="36"/>
      <c r="J6" s="57"/>
      <c r="K6" s="130">
        <v>8.0E7</v>
      </c>
      <c r="L6" s="139" t="s">
        <v>277</v>
      </c>
    </row>
    <row r="7" spans="1:12" ht="42.0" customHeight="1">
      <c r="A7" s="128">
        <f>G7-B7</f>
        <v>5.9583333333333336E7</v>
      </c>
      <c r="B7" s="129">
        <f>F7+E7</f>
        <v>5416666.666666667</v>
      </c>
      <c r="C7" s="36"/>
      <c r="D7" s="36"/>
      <c r="E7" s="57">
        <f>J7/10*10/12</f>
        <v>5416666.666666667</v>
      </c>
      <c r="F7" s="130">
        <v>0.0</v>
      </c>
      <c r="G7" s="129">
        <f>K7+J7</f>
        <v>6.5E7</v>
      </c>
      <c r="H7" s="36"/>
      <c r="I7" s="36"/>
      <c r="J7" s="57">
        <v>6.5E7</v>
      </c>
      <c r="K7" s="130"/>
      <c r="L7" s="139" t="s">
        <v>278</v>
      </c>
    </row>
    <row r="8" spans="1:12" ht="42.0" customHeight="1">
      <c r="A8" s="128">
        <f>G8-B8</f>
        <v>1200000.0</v>
      </c>
      <c r="B8" s="129">
        <f>F8+E8</f>
        <v>100000.0</v>
      </c>
      <c r="C8" s="36"/>
      <c r="D8" s="36"/>
      <c r="E8" s="57">
        <f>(J8-100000.0)/5*5/12</f>
        <v>100000.0</v>
      </c>
      <c r="F8" s="130">
        <v>0.0</v>
      </c>
      <c r="G8" s="129">
        <f>K8+J8</f>
        <v>1300000.0</v>
      </c>
      <c r="H8" s="36"/>
      <c r="I8" s="36"/>
      <c r="J8" s="57">
        <v>1300000.0</v>
      </c>
      <c r="K8" s="130"/>
      <c r="L8" s="139" t="s">
        <v>279</v>
      </c>
    </row>
    <row r="9" spans="1:12" ht="42.0" customHeight="1">
      <c r="A9" s="131">
        <f>SUM(A5:A8)</f>
        <v>5.973748666666666E8</v>
      </c>
      <c r="B9" s="131">
        <f>SUM(B5:B8)</f>
        <v>4.930513333333333E7</v>
      </c>
      <c r="C9" s="132"/>
      <c r="D9" s="132"/>
      <c r="E9" s="133">
        <f>SUM(E5:E8)</f>
        <v>3.360513333333333E7</v>
      </c>
      <c r="F9" s="133">
        <f>SUM(F5:F8)</f>
        <v>1.57E7</v>
      </c>
      <c r="G9" s="131">
        <f>SUM(G5:G8)</f>
        <v>6.4668E8</v>
      </c>
      <c r="H9" s="132"/>
      <c r="I9" s="132"/>
      <c r="J9" s="133">
        <f>SUM(J5:J8)</f>
        <v>4.4668E8</v>
      </c>
      <c r="K9" s="133">
        <f>SUM(K5:K8)</f>
        <v>2.0E8</v>
      </c>
      <c r="L9" s="140" t="s">
        <v>280</v>
      </c>
    </row>
  </sheetData>
  <mergeCells count="5">
    <mergeCell ref="G3:K3"/>
    <mergeCell ref="B3:F3"/>
    <mergeCell ref="A2:L2"/>
    <mergeCell ref="A1:L1"/>
    <mergeCell ref="L3:L4"/>
  </mergeCell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M1:R33"/>
  <sheetViews>
    <sheetView showGridLines="1" workbookViewId="0" topLeftCell="E1">
      <selection activeCell="M1" sqref="M1"/>
    </sheetView>
  </sheetViews>
  <sheetFormatPr defaultRowHeight="15"/>
  <cols>
    <col min="1" max="1" width="12.34375" style="35" customWidth="1"/>
    <col min="2" max="2" width="13.65234375" style="35" customWidth="1"/>
    <col min="3" max="3" width="3.36328125" style="35" customWidth="1"/>
    <col min="4" max="4" width="45.73828125" style="35" customWidth="1"/>
    <col min="5" max="5" width="22.61328125" style="35" customWidth="1"/>
    <col min="6" max="6" width="12.81640625" style="35" customWidth="1"/>
    <col min="7" max="7" width="3.0" style="35" customWidth="1"/>
    <col min="8" max="8" width="16.421875" style="35" customWidth="1"/>
    <col min="9" max="9" width="18.4609375" style="35" customWidth="1"/>
    <col min="10" max="10" width="35.578125" style="35" customWidth="1"/>
    <col min="11" max="11" width="15.5859375" style="35" customWidth="1"/>
    <col min="12" max="12" width="4.26953125" style="35" customWidth="1"/>
    <col min="13" max="13" width="7.90625" style="35" customWidth="1"/>
    <col min="14" max="14" width="6.7265625" style="35" customWidth="1"/>
    <col min="15" max="15" width="11.7265625" style="35" customWidth="1"/>
    <col min="16" max="16" width="9.36328125" style="35" customWidth="1"/>
    <col min="17" max="17" width="9.0" style="35" customWidth="1"/>
    <col min="18" max="18" width="15.81640625" style="35" customWidth="1"/>
    <col min="19" max="256" width="8.7265625" style="35" customWidth="1"/>
  </cols>
  <sheetData>
    <row r="1" spans="13:18">
      <c r="A1" s="106" t="s">
        <v>43</v>
      </c>
      <c r="B1" s="106"/>
      <c r="H1" s="183" t="s">
        <v>44</v>
      </c>
      <c r="I1" s="184"/>
      <c r="J1" s="184"/>
      <c r="K1" s="185"/>
      <c r="M1" s="86" t="s">
        <v>45</v>
      </c>
      <c r="N1" s="86"/>
      <c r="O1" s="86"/>
      <c r="P1" s="86"/>
      <c r="Q1" s="86"/>
      <c r="R1" s="86"/>
    </row>
    <row r="2" spans="13:18" ht="24.0" customHeight="1">
      <c r="A2" s="36">
        <v>8.3E7</v>
      </c>
      <c r="B2" s="36" t="s">
        <v>46</v>
      </c>
      <c r="D2" s="35" t="s">
        <v>47</v>
      </c>
      <c r="E2" s="35" t="s">
        <v>48</v>
      </c>
      <c r="H2" s="43" t="s">
        <v>49</v>
      </c>
      <c r="I2" s="42" t="s">
        <v>50</v>
      </c>
      <c r="J2" s="42" t="s">
        <v>26</v>
      </c>
      <c r="K2" s="44" t="s">
        <v>31</v>
      </c>
      <c r="M2" s="86" t="s">
        <v>51</v>
      </c>
      <c r="N2" s="86"/>
      <c r="O2" s="86"/>
      <c r="P2" s="86"/>
      <c r="Q2" s="86"/>
      <c r="R2" s="86"/>
    </row>
    <row r="3" spans="13:18" ht="40.0" customHeight="1">
      <c r="A3" s="36">
        <v>800000.0</v>
      </c>
      <c r="B3" s="36" t="s">
        <v>52</v>
      </c>
      <c r="D3" s="35" t="s">
        <v>53</v>
      </c>
      <c r="E3" s="35" t="s">
        <v>54</v>
      </c>
      <c r="F3" s="35">
        <f>F4*7/12</f>
        <v>4579166.666666667</v>
      </c>
      <c r="H3" s="38"/>
      <c r="I3" s="45">
        <f>F3</f>
        <v>4579166.666666667</v>
      </c>
      <c r="J3" s="45" t="s">
        <v>55</v>
      </c>
      <c r="K3" s="182" t="s">
        <v>56</v>
      </c>
      <c r="M3" s="186" t="s">
        <v>56</v>
      </c>
      <c r="N3" s="186"/>
      <c r="O3" s="186"/>
      <c r="P3" s="186"/>
      <c r="Q3" s="186"/>
      <c r="R3" s="186"/>
    </row>
    <row r="4" spans="13:18">
      <c r="A4" s="37">
        <f>SUM(A2:A3)</f>
        <v>8.38E7</v>
      </c>
      <c r="B4" s="37" t="s">
        <v>35</v>
      </c>
      <c r="D4" s="35">
        <v>7850000.0</v>
      </c>
      <c r="E4" s="35" t="s">
        <v>57</v>
      </c>
      <c r="F4" s="35">
        <f>(A4-5300000.0)/10</f>
        <v>7850000.0</v>
      </c>
      <c r="H4" s="38">
        <f>I3</f>
        <v>4579166.666666667</v>
      </c>
      <c r="I4" s="48"/>
      <c r="J4" s="46" t="s">
        <v>58</v>
      </c>
      <c r="K4" s="182"/>
      <c r="O4" s="35" t="s">
        <v>59</v>
      </c>
      <c r="P4" s="45"/>
      <c r="R4" s="35" t="s">
        <v>60</v>
      </c>
    </row>
    <row r="5" spans="13:18">
      <c r="F5" s="35">
        <f>SUM(F3:F4)</f>
        <v>1.2429166666666668E7</v>
      </c>
      <c r="H5" s="38"/>
      <c r="I5" s="48"/>
      <c r="J5" s="47" t="s">
        <v>54</v>
      </c>
      <c r="K5" s="40"/>
      <c r="P5" s="48"/>
    </row>
    <row r="6" spans="13:18">
      <c r="H6" s="38"/>
      <c r="I6" s="48">
        <f>D4</f>
        <v>7850000.0</v>
      </c>
      <c r="J6" s="48" t="s">
        <v>55</v>
      </c>
      <c r="K6" s="182" t="s">
        <v>61</v>
      </c>
      <c r="O6" s="35" t="s">
        <v>62</v>
      </c>
      <c r="P6" s="48"/>
    </row>
    <row r="7" spans="13:18">
      <c r="H7" s="38">
        <f>I6</f>
        <v>7850000.0</v>
      </c>
      <c r="I7" s="48"/>
      <c r="J7" s="46" t="s">
        <v>58</v>
      </c>
      <c r="K7" s="182"/>
      <c r="P7" s="48"/>
      <c r="R7" s="35" t="s">
        <v>63</v>
      </c>
    </row>
    <row r="8" spans="13:18" ht="23.25" customHeight="1">
      <c r="H8" s="39"/>
      <c r="I8" s="50"/>
      <c r="J8" s="49" t="s">
        <v>57</v>
      </c>
      <c r="K8" s="41"/>
      <c r="O8" s="35" t="s">
        <v>64</v>
      </c>
      <c r="P8" s="48"/>
      <c r="Q8" s="35">
        <f>A4</f>
        <v>8.38E7</v>
      </c>
      <c r="R8" s="35" t="s">
        <v>65</v>
      </c>
    </row>
    <row r="9" spans="13:18">
      <c r="P9" s="48"/>
      <c r="Q9" s="55">
        <v>-4579168.0</v>
      </c>
      <c r="R9" s="35" t="s">
        <v>58</v>
      </c>
    </row>
    <row r="10" spans="13:18">
      <c r="P10" s="48">
        <f>Q8+Q9</f>
        <v>7.9220832E7</v>
      </c>
      <c r="R10" s="35" t="s">
        <v>66</v>
      </c>
    </row>
    <row r="11" spans="13:18">
      <c r="P11" s="48"/>
    </row>
    <row r="12" spans="13:18">
      <c r="P12" s="48"/>
    </row>
    <row r="13" spans="13:18">
      <c r="P13" s="48"/>
    </row>
    <row r="14" spans="13:18">
      <c r="M14" s="51"/>
      <c r="N14" s="51"/>
      <c r="O14" s="51"/>
      <c r="P14" s="52"/>
      <c r="Q14" s="51"/>
      <c r="R14" s="51"/>
    </row>
    <row r="15" spans="13:18" ht="23.25" customHeight="1">
      <c r="M15" s="53"/>
      <c r="N15" s="180" t="s">
        <v>67</v>
      </c>
      <c r="O15" s="181"/>
      <c r="P15" s="54"/>
      <c r="Q15" s="180" t="s">
        <v>68</v>
      </c>
      <c r="R15" s="180"/>
    </row>
    <row r="16" spans="13:18" ht="23.25" customHeight="1"/>
    <row r="18" spans="13:18">
      <c r="M18" s="86" t="s">
        <v>45</v>
      </c>
      <c r="N18" s="86"/>
      <c r="O18" s="86"/>
      <c r="P18" s="86"/>
      <c r="Q18" s="86"/>
      <c r="R18" s="86"/>
    </row>
    <row r="19" spans="13:18">
      <c r="M19" s="86" t="s">
        <v>51</v>
      </c>
      <c r="N19" s="86"/>
      <c r="O19" s="86"/>
      <c r="P19" s="86"/>
      <c r="Q19" s="86"/>
      <c r="R19" s="86"/>
    </row>
    <row r="20" spans="13:18">
      <c r="M20" s="186" t="s">
        <v>61</v>
      </c>
      <c r="N20" s="186"/>
      <c r="O20" s="186"/>
      <c r="P20" s="186"/>
      <c r="Q20" s="186"/>
      <c r="R20" s="186"/>
    </row>
    <row r="21" spans="13:18">
      <c r="O21" s="35" t="s">
        <v>59</v>
      </c>
      <c r="P21" s="45"/>
      <c r="R21" s="35" t="s">
        <v>60</v>
      </c>
    </row>
    <row r="22" spans="13:18">
      <c r="P22" s="48"/>
    </row>
    <row r="23" spans="13:18">
      <c r="O23" s="35" t="s">
        <v>62</v>
      </c>
      <c r="P23" s="48"/>
    </row>
    <row r="24" spans="13:18">
      <c r="P24" s="48"/>
      <c r="R24" s="35" t="s">
        <v>63</v>
      </c>
    </row>
    <row r="25" spans="13:18">
      <c r="O25" s="35" t="s">
        <v>64</v>
      </c>
      <c r="P25" s="48"/>
      <c r="Q25" s="35">
        <f>A4</f>
        <v>8.38E7</v>
      </c>
      <c r="R25" s="35" t="s">
        <v>65</v>
      </c>
    </row>
    <row r="26" spans="13:18">
      <c r="P26" s="48"/>
      <c r="Q26" s="55">
        <v>-1.2429167E7</v>
      </c>
      <c r="R26" s="35" t="s">
        <v>58</v>
      </c>
    </row>
    <row r="27" spans="13:18">
      <c r="P27" s="48">
        <f>Q25+Q26</f>
        <v>7.1370833E7</v>
      </c>
      <c r="R27" s="35" t="s">
        <v>66</v>
      </c>
    </row>
    <row r="28" spans="13:18">
      <c r="P28" s="48"/>
    </row>
    <row r="29" spans="13:18">
      <c r="P29" s="48"/>
    </row>
    <row r="30" spans="13:18">
      <c r="P30" s="48"/>
    </row>
    <row r="31" spans="13:18">
      <c r="M31" s="51"/>
      <c r="N31" s="51"/>
      <c r="O31" s="51"/>
      <c r="P31" s="52"/>
      <c r="Q31" s="51"/>
      <c r="R31" s="51"/>
    </row>
    <row r="32" spans="13:18" ht="23.25" customHeight="1">
      <c r="M32" s="53"/>
      <c r="N32" s="180" t="s">
        <v>67</v>
      </c>
      <c r="O32" s="181"/>
      <c r="P32" s="54"/>
      <c r="Q32" s="180" t="s">
        <v>68</v>
      </c>
      <c r="R32" s="180"/>
    </row>
    <row r="33" spans="13:18" ht="23.25" customHeight="1"/>
  </sheetData>
  <mergeCells count="14">
    <mergeCell ref="N32:O32"/>
    <mergeCell ref="Q32:R32"/>
    <mergeCell ref="A1:B1"/>
    <mergeCell ref="K3:K4"/>
    <mergeCell ref="K6:K7"/>
    <mergeCell ref="H1:K1"/>
    <mergeCell ref="M1:R1"/>
    <mergeCell ref="M2:R2"/>
    <mergeCell ref="M3:R3"/>
    <mergeCell ref="Q15:R15"/>
    <mergeCell ref="N15:O15"/>
    <mergeCell ref="M18:R18"/>
    <mergeCell ref="M19:R19"/>
    <mergeCell ref="M20:R20"/>
  </mergeCells>
</worksheet>
</file>

<file path=xl/worksheets/sheet4.xml><?xml version="1.0" encoding="utf-8"?>
<worksheet xmlns="http://schemas.openxmlformats.org/spreadsheetml/2006/main" xmlns:r="http://schemas.openxmlformats.org/officeDocument/2006/relationships">
  <dimension ref="A1:G8"/>
  <sheetViews>
    <sheetView showGridLines="1" workbookViewId="0" topLeftCell="A1">
      <selection activeCell="A1" sqref="A1"/>
    </sheetView>
  </sheetViews>
  <sheetFormatPr defaultRowHeight="15"/>
  <cols>
    <col min="1" max="1" width="10.0" style="35" customWidth="1"/>
    <col min="2" max="2" width="8.90625" style="35" customWidth="1"/>
    <col min="3" max="3" width="8.7265625" style="35" customWidth="1"/>
    <col min="4" max="4" width="9.81640625" style="35" customWidth="1"/>
    <col min="5" max="5" width="11.0" style="35" customWidth="1"/>
    <col min="6" max="6" width="8.7265625" style="35" customWidth="1"/>
    <col min="7" max="7" width="11.81640625" style="35" customWidth="1"/>
    <col min="8" max="256" width="8.7265625" style="35" customWidth="1"/>
  </cols>
  <sheetData>
    <row r="2" spans="1:7">
      <c r="A2" s="59" t="s">
        <v>29</v>
      </c>
      <c r="B2" s="37" t="s">
        <v>69</v>
      </c>
      <c r="C2" s="56" t="s">
        <v>70</v>
      </c>
      <c r="D2" s="37" t="s">
        <v>71</v>
      </c>
      <c r="E2" s="37" t="s">
        <v>25</v>
      </c>
      <c r="F2" s="37" t="s">
        <v>72</v>
      </c>
      <c r="G2" s="37" t="s">
        <v>73</v>
      </c>
    </row>
    <row r="3" spans="1:7">
      <c r="A3" s="58">
        <f>(E3-D3)/C3</f>
        <v>430000.0</v>
      </c>
      <c r="B3" s="57">
        <f>(E3-D3)/C3</f>
        <v>430000.0</v>
      </c>
      <c r="C3" s="36">
        <v>10.0</v>
      </c>
      <c r="D3" s="36">
        <v>200000.0</v>
      </c>
      <c r="E3" s="36">
        <v>4500000.0</v>
      </c>
      <c r="F3" s="36" t="s">
        <v>74</v>
      </c>
      <c r="G3" s="37" t="s">
        <v>75</v>
      </c>
    </row>
    <row r="4" spans="1:7">
      <c r="A4" s="58">
        <f>B4*12/8</f>
        <v>420000.0</v>
      </c>
      <c r="B4" s="36">
        <v>280000.0</v>
      </c>
      <c r="C4" s="36">
        <v>10.0</v>
      </c>
      <c r="D4" s="57">
        <f>E4-(B4*C4)</f>
        <v>2200000.0</v>
      </c>
      <c r="E4" s="36">
        <v>5000000.0</v>
      </c>
      <c r="F4" s="36" t="s">
        <v>76</v>
      </c>
      <c r="G4" s="37" t="s">
        <v>77</v>
      </c>
    </row>
    <row r="5" spans="1:7">
      <c r="A5" s="58">
        <f>B5*12/7</f>
        <v>1.32E7</v>
      </c>
      <c r="B5" s="36">
        <v>7700000.0</v>
      </c>
      <c r="C5" s="36">
        <v>5.0</v>
      </c>
      <c r="D5" s="36">
        <v>600000.0</v>
      </c>
      <c r="E5" s="57">
        <f>D5+(B5*C5)</f>
        <v>3.91E7</v>
      </c>
      <c r="F5" s="36" t="s">
        <v>78</v>
      </c>
      <c r="G5" s="37" t="s">
        <v>79</v>
      </c>
    </row>
    <row r="6" spans="1:7">
      <c r="A6" s="58">
        <f>B6*12/6</f>
        <v>1.35E8</v>
      </c>
      <c r="B6" s="36">
        <v>6.75E7</v>
      </c>
      <c r="C6" s="57">
        <f>(E6-D6)/B6</f>
        <v>12.0</v>
      </c>
      <c r="D6" s="36">
        <v>8.0E7</v>
      </c>
      <c r="E6" s="36">
        <v>8.9E8</v>
      </c>
      <c r="F6" s="36" t="s">
        <v>80</v>
      </c>
      <c r="G6" s="37" t="s">
        <v>81</v>
      </c>
    </row>
    <row r="7" spans="1:7">
      <c r="A7" s="58">
        <f>(E7-D7)/C7</f>
        <v>7.98E7</v>
      </c>
      <c r="B7" s="36">
        <v>2.66E7</v>
      </c>
      <c r="C7" s="36">
        <v>15.0</v>
      </c>
      <c r="D7" s="36">
        <v>3.0E8</v>
      </c>
      <c r="E7" s="36">
        <v>1.497E9</v>
      </c>
      <c r="F7" s="57" t="s">
        <v>82</v>
      </c>
      <c r="G7" s="37" t="s">
        <v>83</v>
      </c>
    </row>
    <row r="8" spans="1:7">
      <c r="A8" s="58">
        <f>B8*12/3</f>
        <v>1800000.0</v>
      </c>
      <c r="B8" s="36">
        <v>450000.0</v>
      </c>
      <c r="C8" s="36">
        <v>3.0</v>
      </c>
      <c r="D8" s="57">
        <f>E8-(A8*C8)</f>
        <v>0.0</v>
      </c>
      <c r="E8" s="36">
        <v>5400000.0</v>
      </c>
      <c r="F8" s="36" t="s">
        <v>84</v>
      </c>
      <c r="G8" s="37" t="s">
        <v>85</v>
      </c>
    </row>
  </sheetData>
</worksheet>
</file>

<file path=xl/worksheets/sheet5.xml><?xml version="1.0" encoding="utf-8"?>
<worksheet xmlns="http://schemas.openxmlformats.org/spreadsheetml/2006/main" xmlns:r="http://schemas.openxmlformats.org/officeDocument/2006/relationships">
  <dimension ref="A1:K8"/>
  <sheetViews>
    <sheetView showGridLines="1" workbookViewId="0" topLeftCell="A1">
      <selection activeCell="A1" sqref="A1"/>
    </sheetView>
  </sheetViews>
  <sheetFormatPr defaultRowHeight="15"/>
  <cols>
    <col min="2" max="2" width="10.453125" customWidth="1"/>
    <col min="7" max="7" width="24.1796875" customWidth="1"/>
  </cols>
  <sheetData>
    <row r="1" spans="1:11" ht="28.5" customHeight="1">
      <c r="A1" s="106" t="s">
        <v>86</v>
      </c>
      <c r="B1" s="106"/>
      <c r="D1" s="187" t="s">
        <v>87</v>
      </c>
      <c r="E1" s="188"/>
      <c r="F1" s="188"/>
      <c r="G1" s="188"/>
      <c r="H1" s="188"/>
      <c r="I1" s="189"/>
    </row>
    <row r="2" spans="1:11" ht="22.5" customHeight="1">
      <c r="A2" s="36">
        <f>160000.0*5</f>
        <v>800000.0</v>
      </c>
      <c r="B2" s="36" t="s">
        <v>46</v>
      </c>
      <c r="D2" s="29" t="s">
        <v>23</v>
      </c>
      <c r="E2" s="28" t="s">
        <v>28</v>
      </c>
      <c r="F2" s="28" t="s">
        <v>38</v>
      </c>
      <c r="G2" s="28" t="s">
        <v>39</v>
      </c>
      <c r="H2" s="28" t="s">
        <v>25</v>
      </c>
      <c r="I2" s="60" t="s">
        <v>30</v>
      </c>
    </row>
    <row r="3" spans="1:11" ht="22.5" customHeight="1">
      <c r="A3" s="36">
        <v>30000.0</v>
      </c>
      <c r="B3" s="36" t="s">
        <v>88</v>
      </c>
      <c r="D3" s="29">
        <f>$H$3-E3</f>
        <v>783000.0</v>
      </c>
      <c r="E3" s="25">
        <f>F3</f>
        <v>47000.0</v>
      </c>
      <c r="F3" s="25">
        <f>(A4-K3)*20%*4/12</f>
        <v>47000.0</v>
      </c>
      <c r="G3" s="25" t="s">
        <v>89</v>
      </c>
      <c r="H3" s="28">
        <f>A4</f>
        <v>830000.0</v>
      </c>
      <c r="I3" s="63">
        <v>1388.0</v>
      </c>
      <c r="K3" s="21">
        <f>25000*5</f>
        <v>125000.0</v>
      </c>
    </row>
    <row r="4" spans="1:11" ht="22.5" customHeight="1">
      <c r="A4" s="37">
        <f>SUM(A2:A3)</f>
        <v>830000.0</v>
      </c>
      <c r="B4" s="37" t="s">
        <v>35</v>
      </c>
      <c r="D4" s="29">
        <f>$H$3-E4</f>
        <v>642000.0</v>
      </c>
      <c r="E4" s="28">
        <f>E3+F4</f>
        <v>188000.0</v>
      </c>
      <c r="F4" s="28">
        <f>($A$4-$K$3)*20%</f>
        <v>141000.0</v>
      </c>
      <c r="G4" s="28" t="s">
        <v>90</v>
      </c>
      <c r="H4" s="28">
        <v>830000.0</v>
      </c>
      <c r="I4" s="63">
        <v>1389.0</v>
      </c>
    </row>
    <row r="5" spans="1:11" ht="22.5" customHeight="1">
      <c r="D5" s="29">
        <f>$H$3-E5</f>
        <v>501000.0</v>
      </c>
      <c r="E5" s="28">
        <f>E4+F5</f>
        <v>329000.0</v>
      </c>
      <c r="F5" s="28">
        <f>($A$4-$K$3)*20%</f>
        <v>141000.0</v>
      </c>
      <c r="G5" s="28" t="s">
        <v>90</v>
      </c>
      <c r="H5" s="28">
        <v>830000.0</v>
      </c>
      <c r="I5" s="63">
        <v>1390.0</v>
      </c>
    </row>
    <row r="6" spans="1:11" ht="22.5" customHeight="1">
      <c r="D6" s="29">
        <f>$H$3-E6</f>
        <v>360000.0</v>
      </c>
      <c r="E6" s="28">
        <f>E5+F6</f>
        <v>470000.0</v>
      </c>
      <c r="F6" s="28">
        <f>($A$4-$K$3)*20%</f>
        <v>141000.0</v>
      </c>
      <c r="G6" s="28" t="s">
        <v>90</v>
      </c>
      <c r="H6" s="28">
        <v>830000.0</v>
      </c>
      <c r="I6" s="63">
        <v>1393.0</v>
      </c>
    </row>
    <row r="7" spans="1:11" ht="22.5" customHeight="1">
      <c r="D7" s="29">
        <f>$H$3-E7</f>
        <v>219000.0</v>
      </c>
      <c r="E7" s="28">
        <f>E6+F7</f>
        <v>611000.0</v>
      </c>
      <c r="F7" s="28">
        <f>($A$4-$K$3)*20%</f>
        <v>141000.0</v>
      </c>
      <c r="G7" s="28" t="s">
        <v>90</v>
      </c>
      <c r="H7" s="28">
        <v>830000.0</v>
      </c>
      <c r="I7" s="63">
        <v>1394.0</v>
      </c>
    </row>
    <row r="8" spans="1:11" ht="23.25" customHeight="1">
      <c r="D8" s="61">
        <f>$H$3-E8</f>
        <v>125000.0</v>
      </c>
      <c r="E8" s="62">
        <f>E7+F8</f>
        <v>705000.0</v>
      </c>
      <c r="F8" s="62">
        <f>($A$4-$K$3)*20%*8/12</f>
        <v>94000.0</v>
      </c>
      <c r="G8" s="62" t="s">
        <v>91</v>
      </c>
      <c r="H8" s="62">
        <v>830000.0</v>
      </c>
      <c r="I8" s="64">
        <v>1395.0</v>
      </c>
    </row>
  </sheetData>
  <mergeCells count="2">
    <mergeCell ref="D1:I1"/>
    <mergeCell ref="A1:B1"/>
  </mergeCells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showGridLines="1" workbookViewId="0" topLeftCell="A1">
      <selection activeCell="A1" sqref="A1"/>
    </sheetView>
  </sheetViews>
  <sheetFormatPr defaultRowHeight="15"/>
  <cols>
    <col min="1" max="1" width="8.7265625" style="23" customWidth="1"/>
    <col min="2" max="2" width="11.453125" style="23" customWidth="1"/>
    <col min="3" max="3" width="8.7265625" style="23" customWidth="1"/>
    <col min="4" max="4" width="9.0" style="23" customWidth="1"/>
    <col min="5" max="5" width="13.0" style="23" customWidth="1"/>
    <col min="6" max="256" width="8.7265625" style="23" customWidth="1"/>
  </cols>
  <sheetData>
    <row r="1" spans="1:5">
      <c r="A1" s="37" t="s">
        <v>69</v>
      </c>
      <c r="B1" s="37" t="s">
        <v>92</v>
      </c>
      <c r="C1" s="37" t="s">
        <v>71</v>
      </c>
      <c r="D1" s="37" t="s">
        <v>25</v>
      </c>
      <c r="E1" s="37" t="s">
        <v>73</v>
      </c>
    </row>
    <row r="2" spans="1:5">
      <c r="A2" s="57">
        <f>(D2-C2)*B2</f>
        <v>740000.0</v>
      </c>
      <c r="B2" s="65">
        <v>0.1</v>
      </c>
      <c r="C2" s="36">
        <v>600000.0</v>
      </c>
      <c r="D2" s="36">
        <v>8000000.0</v>
      </c>
      <c r="E2" s="37" t="s">
        <v>93</v>
      </c>
    </row>
    <row r="3" spans="1:5">
      <c r="A3" s="36">
        <v>2556000.0</v>
      </c>
      <c r="B3" s="65">
        <v>0.18</v>
      </c>
      <c r="C3" s="57">
        <f>D3-(A3/B3)</f>
        <v>800000.0</v>
      </c>
      <c r="D3" s="36">
        <v>1.5E7</v>
      </c>
      <c r="E3" s="37" t="s">
        <v>94</v>
      </c>
    </row>
    <row r="4" spans="1:5">
      <c r="A4" s="36">
        <v>5375000.0</v>
      </c>
      <c r="B4" s="66">
        <f>(D4-C4)/A4/100</f>
        <v>0.08</v>
      </c>
      <c r="C4" s="36">
        <v>5000000.0</v>
      </c>
      <c r="D4" s="36">
        <v>4.8E7</v>
      </c>
      <c r="E4" s="37" t="s">
        <v>95</v>
      </c>
    </row>
    <row r="8" spans="1:5">
      <c r="E8" s="35"/>
    </row>
  </sheetData>
</worksheet>
</file>

<file path=xl/worksheets/sheet7.xml><?xml version="1.0" encoding="utf-8"?>
<worksheet xmlns="http://schemas.openxmlformats.org/spreadsheetml/2006/main" xmlns:r="http://schemas.openxmlformats.org/officeDocument/2006/relationships">
  <dimension ref="A1:M11"/>
  <sheetViews>
    <sheetView showGridLines="1" workbookViewId="0" topLeftCell="A1">
      <selection activeCell="A1" sqref="A1"/>
    </sheetView>
  </sheetViews>
  <sheetFormatPr defaultRowHeight="15"/>
  <cols>
    <col min="1" max="1" width="10.36328125" style="23" customWidth="1"/>
    <col min="2" max="2" width="11.6328125" style="23" customWidth="1"/>
    <col min="3" max="3" width="9.0" style="23" customWidth="1"/>
    <col min="4" max="4" width="6.6328125" style="23" customWidth="1"/>
    <col min="5" max="5" width="9.36328125" style="23" customWidth="1"/>
    <col min="6" max="6" width="8.7265625" style="23" customWidth="1"/>
    <col min="7" max="7" width="11.08984375" style="23" customWidth="1"/>
    <col min="8" max="8" width="10.6328125" style="23" customWidth="1"/>
    <col min="9" max="9" width="8.6328125" style="23" customWidth="1"/>
    <col min="10" max="10" width="11.54296875" style="23" customWidth="1"/>
    <col min="11" max="11" width="7.90625" style="23" customWidth="1"/>
    <col min="12" max="12" width="10.0" style="23" customWidth="1"/>
    <col min="13" max="13" width="2.90625" style="23" customWidth="1"/>
    <col min="14" max="256" width="8.7265625" style="23" customWidth="1"/>
  </cols>
  <sheetData>
    <row r="2" spans="1:13">
      <c r="A2" s="67" t="s">
        <v>96</v>
      </c>
      <c r="B2" s="67" t="s">
        <v>97</v>
      </c>
      <c r="C2" s="67" t="s">
        <v>98</v>
      </c>
      <c r="D2" s="67" t="s">
        <v>99</v>
      </c>
      <c r="E2" s="67" t="s">
        <v>100</v>
      </c>
      <c r="F2" s="67" t="s">
        <v>101</v>
      </c>
      <c r="G2" s="67" t="s">
        <v>102</v>
      </c>
      <c r="H2" s="67" t="s">
        <v>103</v>
      </c>
      <c r="I2" s="67" t="s">
        <v>104</v>
      </c>
      <c r="J2" s="67" t="s">
        <v>105</v>
      </c>
      <c r="K2" s="67" t="s">
        <v>106</v>
      </c>
      <c r="L2" s="67" t="s">
        <v>73</v>
      </c>
      <c r="M2" s="67" t="s">
        <v>7</v>
      </c>
    </row>
    <row r="3" spans="1:13">
      <c r="A3" s="68">
        <f>H3-B3</f>
        <v>386250.0</v>
      </c>
      <c r="B3" s="68">
        <f>G3+C3</f>
        <v>63750.0</v>
      </c>
      <c r="C3" s="68">
        <f>J3/E3</f>
        <v>45000.0</v>
      </c>
      <c r="D3" s="69" t="s">
        <v>107</v>
      </c>
      <c r="E3" s="69">
        <v>10.0</v>
      </c>
      <c r="F3" s="69">
        <v>12.0</v>
      </c>
      <c r="G3" s="69">
        <v>18750.0</v>
      </c>
      <c r="H3" s="69">
        <v>450000.0</v>
      </c>
      <c r="I3" s="70">
        <v>0.0</v>
      </c>
      <c r="J3" s="69">
        <v>450000.0</v>
      </c>
      <c r="K3" s="69"/>
      <c r="L3" s="72" t="s">
        <v>108</v>
      </c>
      <c r="M3" s="72">
        <v>1.0</v>
      </c>
    </row>
    <row r="4" spans="1:13">
      <c r="A4" s="68">
        <f>H4-B4</f>
        <v>920000.0</v>
      </c>
      <c r="B4" s="68">
        <f>G4+C4</f>
        <v>280000.0</v>
      </c>
      <c r="C4" s="68">
        <f>J4/E4</f>
        <v>200000.0</v>
      </c>
      <c r="D4" s="69" t="s">
        <v>107</v>
      </c>
      <c r="E4" s="69">
        <v>6.0</v>
      </c>
      <c r="F4" s="69">
        <v>12.0</v>
      </c>
      <c r="G4" s="69">
        <v>80000.0</v>
      </c>
      <c r="H4" s="69">
        <v>1200000.0</v>
      </c>
      <c r="I4" s="70">
        <v>0.0</v>
      </c>
      <c r="J4" s="69">
        <v>1200000.0</v>
      </c>
      <c r="K4" s="69"/>
      <c r="L4" s="72" t="s">
        <v>109</v>
      </c>
      <c r="M4" s="72">
        <v>2.0</v>
      </c>
    </row>
    <row r="5" spans="1:13">
      <c r="A5" s="68">
        <f>H5-B5</f>
        <v>4200000.0</v>
      </c>
      <c r="B5" s="68">
        <f>G5+C5</f>
        <v>1400000.0</v>
      </c>
      <c r="C5" s="68">
        <f>J5/E5</f>
        <v>1120000.0</v>
      </c>
      <c r="D5" s="69" t="s">
        <v>107</v>
      </c>
      <c r="E5" s="69">
        <v>5.0</v>
      </c>
      <c r="F5" s="69">
        <v>12.0</v>
      </c>
      <c r="G5" s="69">
        <v>280000.0</v>
      </c>
      <c r="H5" s="69">
        <v>5600000.0</v>
      </c>
      <c r="I5" s="70">
        <v>0.0</v>
      </c>
      <c r="J5" s="69">
        <v>5600000.0</v>
      </c>
      <c r="K5" s="69"/>
      <c r="L5" s="72" t="s">
        <v>110</v>
      </c>
      <c r="M5" s="72">
        <v>3.0</v>
      </c>
    </row>
    <row r="6" spans="1:13">
      <c r="A6" s="68">
        <f>H6-B6</f>
        <v>6.811875E8</v>
      </c>
      <c r="B6" s="68">
        <f>G6+C6</f>
        <v>2.75625E7</v>
      </c>
      <c r="C6" s="68">
        <f>H6/E6*F6/12</f>
        <v>2.75625E7</v>
      </c>
      <c r="D6" s="69" t="s">
        <v>107</v>
      </c>
      <c r="E6" s="69">
        <v>15.0</v>
      </c>
      <c r="F6" s="69">
        <v>7.0</v>
      </c>
      <c r="G6" s="70">
        <v>0.0</v>
      </c>
      <c r="H6" s="69">
        <v>7.0875E8</v>
      </c>
      <c r="I6" s="69">
        <v>7.0875E8</v>
      </c>
      <c r="J6" s="70">
        <v>0.0</v>
      </c>
      <c r="K6" s="69" t="s">
        <v>111</v>
      </c>
      <c r="L6" s="72" t="s">
        <v>83</v>
      </c>
      <c r="M6" s="72">
        <v>4.0</v>
      </c>
    </row>
    <row r="7" spans="1:13">
      <c r="A7" s="68">
        <f>H7-B7</f>
        <v>9360000.0</v>
      </c>
      <c r="B7" s="68">
        <f>G7+C7</f>
        <v>240000.0</v>
      </c>
      <c r="C7" s="68">
        <f>H7/E7*F7/12</f>
        <v>240000.0</v>
      </c>
      <c r="D7" s="69" t="s">
        <v>107</v>
      </c>
      <c r="E7" s="69">
        <v>10.0</v>
      </c>
      <c r="F7" s="69">
        <v>3.0</v>
      </c>
      <c r="G7" s="70">
        <v>0.0</v>
      </c>
      <c r="H7" s="69">
        <v>9600000.0</v>
      </c>
      <c r="I7" s="69">
        <v>9600000.0</v>
      </c>
      <c r="J7" s="70">
        <v>0.0</v>
      </c>
      <c r="K7" s="69" t="s">
        <v>112</v>
      </c>
      <c r="L7" s="72" t="s">
        <v>12</v>
      </c>
      <c r="M7" s="72">
        <v>5.0</v>
      </c>
    </row>
    <row r="8" spans="1:13">
      <c r="A8" s="68">
        <f>SUM(A3:A7)</f>
        <v>6.9605375E8</v>
      </c>
      <c r="B8" s="68">
        <f>SUM(B3:B7)</f>
        <v>2.954625E7</v>
      </c>
      <c r="C8" s="68">
        <f>SUM(C3:C7)</f>
        <v>2.91675E7</v>
      </c>
      <c r="D8" s="71"/>
      <c r="E8" s="71"/>
      <c r="F8" s="71"/>
      <c r="G8" s="68">
        <f>SUM(G3:G7)</f>
        <v>378750.0</v>
      </c>
      <c r="H8" s="68">
        <f>SUM(H3:H7)</f>
        <v>7.256E8</v>
      </c>
      <c r="I8" s="68">
        <f>SUM(I3:I7)</f>
        <v>7.1835E8</v>
      </c>
      <c r="J8" s="68">
        <f>SUM(J3:J7)</f>
        <v>7250000.0</v>
      </c>
      <c r="K8" s="71"/>
      <c r="L8" s="190" t="s">
        <v>35</v>
      </c>
      <c r="M8" s="190"/>
    </row>
    <row r="11" spans="1:13">
      <c r="H11" s="35"/>
    </row>
  </sheetData>
  <mergeCells count="1">
    <mergeCell ref="L8:M8"/>
  </mergeCells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showGridLines="1" workbookViewId="0" topLeftCell="A1">
      <selection activeCell="A1" sqref="A1"/>
    </sheetView>
  </sheetViews>
  <sheetFormatPr defaultRowHeight="15"/>
  <cols>
    <col min="5" max="5" width="10.0" customWidth="1"/>
  </cols>
  <sheetData>
    <row r="1" spans="1:9" ht="28.5" customHeight="1">
      <c r="A1" s="151" t="s">
        <v>113</v>
      </c>
      <c r="B1" s="152"/>
      <c r="C1" s="152"/>
      <c r="D1" s="152"/>
      <c r="E1" s="152"/>
      <c r="F1" s="152"/>
      <c r="G1" s="152"/>
      <c r="H1" s="152"/>
      <c r="I1" s="153"/>
    </row>
    <row r="2" spans="1:9" ht="24.0" customHeight="1">
      <c r="A2" s="150" t="s">
        <v>1</v>
      </c>
      <c r="B2" s="148"/>
      <c r="C2" s="148"/>
      <c r="D2" s="148"/>
      <c r="E2" s="148" t="s">
        <v>2</v>
      </c>
      <c r="F2" s="148"/>
      <c r="G2" s="148"/>
      <c r="H2" s="148"/>
      <c r="I2" s="149"/>
    </row>
    <row r="3" spans="1:9" ht="22.5" customHeight="1">
      <c r="A3" s="159" t="s">
        <v>114</v>
      </c>
      <c r="B3" s="160"/>
      <c r="C3" s="160"/>
      <c r="D3" s="160"/>
      <c r="E3" s="193" t="s">
        <v>115</v>
      </c>
      <c r="F3" s="193" t="s">
        <v>116</v>
      </c>
      <c r="G3" s="193" t="s">
        <v>117</v>
      </c>
      <c r="H3" s="154" t="s">
        <v>7</v>
      </c>
      <c r="I3" s="155"/>
    </row>
    <row r="4" spans="1:9" ht="22.5" customHeight="1">
      <c r="A4" s="191" t="s">
        <v>118</v>
      </c>
      <c r="B4" s="177"/>
      <c r="C4" s="177"/>
      <c r="D4" s="192"/>
      <c r="E4" s="194"/>
      <c r="F4" s="194"/>
      <c r="G4" s="194"/>
      <c r="H4" s="25" t="s">
        <v>9</v>
      </c>
      <c r="I4" s="26" t="s">
        <v>10</v>
      </c>
    </row>
    <row r="5" spans="1:9" ht="22.5" customHeight="1">
      <c r="A5" s="156" t="s">
        <v>119</v>
      </c>
      <c r="B5" s="103"/>
      <c r="C5" s="103"/>
      <c r="D5" s="103"/>
      <c r="E5" s="76" t="s">
        <v>120</v>
      </c>
      <c r="F5" s="76" t="s">
        <v>121</v>
      </c>
      <c r="G5" s="76" t="s">
        <v>14</v>
      </c>
      <c r="H5" s="30">
        <v>15.0</v>
      </c>
      <c r="I5" s="32">
        <v>14.0</v>
      </c>
    </row>
    <row r="6" spans="1:9" ht="22.5" customHeight="1">
      <c r="A6" s="27" t="s">
        <v>122</v>
      </c>
      <c r="B6" s="25"/>
      <c r="C6" s="25"/>
      <c r="D6" s="25"/>
      <c r="E6" s="103" t="s">
        <v>123</v>
      </c>
      <c r="F6" s="103"/>
      <c r="G6" s="103" t="s">
        <v>124</v>
      </c>
      <c r="H6" s="103"/>
      <c r="I6" s="63"/>
    </row>
    <row r="7" spans="1:9" ht="22.5" customHeight="1">
      <c r="A7" s="167" t="s">
        <v>125</v>
      </c>
      <c r="B7" s="168"/>
      <c r="C7" s="168"/>
      <c r="D7" s="169"/>
      <c r="E7" s="164" t="s">
        <v>19</v>
      </c>
      <c r="F7" s="165"/>
      <c r="G7" s="165"/>
      <c r="H7" s="165"/>
      <c r="I7" s="166"/>
    </row>
    <row r="8" spans="1:9" ht="22.5" customHeight="1">
      <c r="A8" s="170"/>
      <c r="B8" s="171"/>
      <c r="C8" s="171"/>
      <c r="D8" s="172"/>
      <c r="E8" s="161" t="s">
        <v>126</v>
      </c>
      <c r="F8" s="162"/>
      <c r="G8" s="162"/>
      <c r="H8" s="162"/>
      <c r="I8" s="163"/>
    </row>
    <row r="9" spans="1:9" ht="22.5" customHeight="1">
      <c r="A9" s="170"/>
      <c r="B9" s="171"/>
      <c r="C9" s="171"/>
      <c r="D9" s="172"/>
      <c r="E9" s="161" t="s">
        <v>127</v>
      </c>
      <c r="F9" s="162"/>
      <c r="G9" s="162"/>
      <c r="H9" s="162"/>
      <c r="I9" s="163"/>
    </row>
    <row r="10" spans="1:9" ht="22.5" customHeight="1">
      <c r="A10" s="173"/>
      <c r="B10" s="174"/>
      <c r="C10" s="174"/>
      <c r="D10" s="175"/>
      <c r="E10" s="143" t="s">
        <v>128</v>
      </c>
      <c r="F10" s="144"/>
      <c r="G10" s="144"/>
      <c r="H10" s="144"/>
      <c r="I10" s="145"/>
    </row>
    <row r="11" spans="1:9" ht="22.5" customHeight="1">
      <c r="A11" s="142" t="s">
        <v>23</v>
      </c>
      <c r="B11" s="25" t="s">
        <v>24</v>
      </c>
      <c r="C11" s="25"/>
      <c r="D11" s="25"/>
      <c r="E11" s="141" t="s">
        <v>25</v>
      </c>
      <c r="F11" s="141" t="s">
        <v>26</v>
      </c>
      <c r="G11" s="141"/>
      <c r="H11" s="25" t="s">
        <v>27</v>
      </c>
      <c r="I11" s="26"/>
    </row>
    <row r="12" spans="1:9" ht="22.5" customHeight="1">
      <c r="A12" s="142"/>
      <c r="B12" s="25" t="s">
        <v>28</v>
      </c>
      <c r="C12" s="25" t="s">
        <v>29</v>
      </c>
      <c r="D12" s="25" t="s">
        <v>30</v>
      </c>
      <c r="E12" s="141"/>
      <c r="F12" s="141"/>
      <c r="G12" s="141"/>
      <c r="H12" s="25" t="s">
        <v>31</v>
      </c>
      <c r="I12" s="26" t="s">
        <v>32</v>
      </c>
    </row>
    <row r="13" spans="1:9" ht="22.5" customHeight="1">
      <c r="A13" s="79">
        <f>$E$13-B13</f>
        <v>2112500.0</v>
      </c>
      <c r="B13" s="77">
        <f>C13</f>
        <v>487500.0</v>
      </c>
      <c r="C13" s="77">
        <f>E13/4*9/12</f>
        <v>487500.0</v>
      </c>
      <c r="D13" s="77">
        <v>95.0</v>
      </c>
      <c r="E13" s="78">
        <v>2600000.0</v>
      </c>
      <c r="F13" s="77" t="s">
        <v>57</v>
      </c>
      <c r="G13" s="77"/>
      <c r="H13" s="77" t="s">
        <v>61</v>
      </c>
      <c r="I13" s="26"/>
    </row>
    <row r="14" spans="1:9" ht="22.5" customHeight="1">
      <c r="A14" s="79">
        <f>$E$13-B14</f>
        <v>1462500.0</v>
      </c>
      <c r="B14" s="77">
        <f>B13+C14</f>
        <v>1137500.0</v>
      </c>
      <c r="C14" s="77">
        <f>E14/4</f>
        <v>650000.0</v>
      </c>
      <c r="D14" s="77">
        <v>96.0</v>
      </c>
      <c r="E14" s="78">
        <v>2600000.0</v>
      </c>
      <c r="F14" s="77" t="s">
        <v>129</v>
      </c>
      <c r="G14" s="77"/>
      <c r="H14" s="77" t="s">
        <v>130</v>
      </c>
      <c r="I14" s="26"/>
    </row>
    <row r="15" spans="1:9" ht="22.5" customHeight="1">
      <c r="A15" s="79">
        <f>$E$13-B15</f>
        <v>812500.0</v>
      </c>
      <c r="B15" s="77">
        <f>B14+C15</f>
        <v>1787500.0</v>
      </c>
      <c r="C15" s="77">
        <f>E15/4</f>
        <v>650000.0</v>
      </c>
      <c r="D15" s="77">
        <v>97.0</v>
      </c>
      <c r="E15" s="78">
        <v>2600000.0</v>
      </c>
      <c r="F15" s="77" t="s">
        <v>131</v>
      </c>
      <c r="G15" s="77"/>
      <c r="H15" s="77" t="s">
        <v>132</v>
      </c>
      <c r="I15" s="26"/>
    </row>
    <row r="16" spans="1:9" ht="22.5" customHeight="1">
      <c r="A16" s="79">
        <f>$E$13-B16</f>
        <v>162500.0</v>
      </c>
      <c r="B16" s="77">
        <f>B15+C16</f>
        <v>2437500.0</v>
      </c>
      <c r="C16" s="77">
        <f>E16/4</f>
        <v>650000.0</v>
      </c>
      <c r="D16" s="77">
        <v>98.0</v>
      </c>
      <c r="E16" s="78">
        <v>2600000.0</v>
      </c>
      <c r="F16" s="77" t="s">
        <v>133</v>
      </c>
      <c r="G16" s="77"/>
      <c r="H16" s="77" t="s">
        <v>134</v>
      </c>
      <c r="I16" s="26"/>
    </row>
    <row r="17" spans="1:9" ht="22.5" customHeight="1">
      <c r="A17" s="79">
        <f>$E$13-B17</f>
        <v>0.0</v>
      </c>
      <c r="B17" s="77">
        <f>B16+C17</f>
        <v>2600000.0</v>
      </c>
      <c r="C17" s="77">
        <f>E17/4*3/12</f>
        <v>162500.0</v>
      </c>
      <c r="D17" s="77">
        <v>99.0</v>
      </c>
      <c r="E17" s="78">
        <v>2600000.0</v>
      </c>
      <c r="F17" s="77" t="s">
        <v>135</v>
      </c>
      <c r="G17" s="77"/>
      <c r="H17" s="77" t="s">
        <v>136</v>
      </c>
      <c r="I17" s="26"/>
    </row>
    <row r="18" spans="1:9" ht="22.5" customHeight="1">
      <c r="A18" s="29">
        <f>A17</f>
        <v>0.0</v>
      </c>
      <c r="B18" s="81"/>
      <c r="C18" s="25">
        <f>SUM(C13:C17)</f>
        <v>2600000.0</v>
      </c>
      <c r="D18" s="81"/>
      <c r="E18" s="81"/>
      <c r="F18" s="176" t="s">
        <v>35</v>
      </c>
      <c r="G18" s="177"/>
      <c r="H18" s="177"/>
      <c r="I18" s="178"/>
    </row>
    <row r="19" spans="1:9" ht="23.25" customHeight="1">
      <c r="A19" s="146" t="s">
        <v>36</v>
      </c>
      <c r="B19" s="147"/>
      <c r="C19" s="147"/>
      <c r="D19" s="147"/>
      <c r="E19" s="147"/>
      <c r="F19" s="147"/>
      <c r="G19" s="147"/>
      <c r="H19" s="147"/>
      <c r="I19" s="64"/>
    </row>
  </sheetData>
  <mergeCells count="30">
    <mergeCell ref="F16:G16"/>
    <mergeCell ref="F17:G17"/>
    <mergeCell ref="F18:I18"/>
    <mergeCell ref="A19:I19"/>
    <mergeCell ref="A11:A12"/>
    <mergeCell ref="B11:D11"/>
    <mergeCell ref="E11:E12"/>
    <mergeCell ref="F11:G12"/>
    <mergeCell ref="H11:I11"/>
    <mergeCell ref="F13:G13"/>
    <mergeCell ref="F14:G14"/>
    <mergeCell ref="F15:G15"/>
    <mergeCell ref="A6:D6"/>
    <mergeCell ref="E6:F6"/>
    <mergeCell ref="G6:I6"/>
    <mergeCell ref="A7:D10"/>
    <mergeCell ref="E7:I7"/>
    <mergeCell ref="E8:I8"/>
    <mergeCell ref="E9:I9"/>
    <mergeCell ref="E10:I10"/>
    <mergeCell ref="A4:D4"/>
    <mergeCell ref="A5:D5"/>
    <mergeCell ref="A1:I1"/>
    <mergeCell ref="A2:D2"/>
    <mergeCell ref="E2:I2"/>
    <mergeCell ref="A3:D3"/>
    <mergeCell ref="H3:I3"/>
    <mergeCell ref="G3:G4"/>
    <mergeCell ref="F3:F4"/>
    <mergeCell ref="E3:E4"/>
  </mergeCells>
</worksheet>
</file>

<file path=xl/worksheets/sheet9.xml><?xml version="1.0" encoding="utf-8"?>
<worksheet xmlns="http://schemas.openxmlformats.org/spreadsheetml/2006/main" xmlns:r="http://schemas.openxmlformats.org/officeDocument/2006/relationships">
  <dimension ref="A1:F18"/>
  <sheetViews>
    <sheetView showGridLines="1" workbookViewId="0" topLeftCell="A1">
      <selection activeCell="A1" sqref="A1"/>
    </sheetView>
  </sheetViews>
  <sheetFormatPr defaultRowHeight="15"/>
  <cols>
    <col min="1" max="1" width="9.81640625" customWidth="1"/>
    <col min="2" max="2" width="10.54296875" customWidth="1"/>
    <col min="4" max="4" width="25.453125" customWidth="1"/>
    <col min="5" max="5" width="9.0" customWidth="1"/>
  </cols>
  <sheetData>
    <row r="1" spans="1:6" ht="28.5" customHeight="1">
      <c r="A1" s="187" t="s">
        <v>137</v>
      </c>
      <c r="B1" s="188"/>
      <c r="C1" s="188"/>
      <c r="D1" s="188"/>
      <c r="E1" s="188"/>
      <c r="F1" s="189"/>
    </row>
    <row r="2" spans="1:6" ht="22.5" customHeight="1">
      <c r="A2" s="29" t="s">
        <v>23</v>
      </c>
      <c r="B2" s="28" t="s">
        <v>28</v>
      </c>
      <c r="C2" s="28" t="s">
        <v>38</v>
      </c>
      <c r="D2" s="28" t="s">
        <v>39</v>
      </c>
      <c r="E2" s="28" t="s">
        <v>25</v>
      </c>
      <c r="F2" s="60" t="s">
        <v>30</v>
      </c>
    </row>
    <row r="3" spans="1:6" ht="22.5" customHeight="1">
      <c r="A3" s="29">
        <f>E3</f>
        <v>2.0E7</v>
      </c>
      <c r="B3" s="28">
        <f>C3</f>
        <v>2000000.0</v>
      </c>
      <c r="C3" s="28">
        <f>A3*20%*6/12</f>
        <v>2000000.0</v>
      </c>
      <c r="D3" s="25" t="s">
        <v>138</v>
      </c>
      <c r="E3" s="28">
        <v>2.0E7</v>
      </c>
      <c r="F3" s="63">
        <v>1394.0</v>
      </c>
    </row>
    <row r="4" spans="1:6" ht="22.5" customHeight="1">
      <c r="A4" s="29">
        <f>$A$3-B4</f>
        <v>1.44E7</v>
      </c>
      <c r="B4" s="28">
        <f>B3+C4</f>
        <v>5600000.0</v>
      </c>
      <c r="C4" s="28">
        <f>($A$3-B3)*20%</f>
        <v>3600000.0</v>
      </c>
      <c r="D4" s="25" t="s">
        <v>139</v>
      </c>
      <c r="E4" s="28">
        <v>2.0E7</v>
      </c>
      <c r="F4" s="63">
        <v>1395.0</v>
      </c>
    </row>
    <row r="5" spans="1:6" ht="22.5" customHeight="1">
      <c r="A5" s="29">
        <f>$A$3-B5</f>
        <v>1.152E7</v>
      </c>
      <c r="B5" s="28">
        <f>B4+C5</f>
        <v>8480000.0</v>
      </c>
      <c r="C5" s="28">
        <f>($A$3-B4)*20%</f>
        <v>2880000.0</v>
      </c>
      <c r="D5" s="25" t="s">
        <v>140</v>
      </c>
      <c r="E5" s="28">
        <v>2.0E7</v>
      </c>
      <c r="F5" s="63">
        <v>1396.0</v>
      </c>
    </row>
    <row r="6" spans="1:6" ht="22.5" customHeight="1">
      <c r="A6" s="29">
        <f>$A$3-B6</f>
        <v>9216000.0</v>
      </c>
      <c r="B6" s="28">
        <f>B5+C6</f>
        <v>1.0784E7</v>
      </c>
      <c r="C6" s="28">
        <f>($A$3-B5)*20%</f>
        <v>2304000.0</v>
      </c>
      <c r="D6" s="25" t="s">
        <v>141</v>
      </c>
      <c r="E6" s="28">
        <v>2.0E7</v>
      </c>
      <c r="F6" s="63">
        <v>1397.0</v>
      </c>
    </row>
    <row r="7" spans="1:6" ht="22.5" customHeight="1">
      <c r="A7" s="29">
        <f>$A$3-B7</f>
        <v>7372800.0</v>
      </c>
      <c r="B7" s="28">
        <f>B6+C7</f>
        <v>1.26272E7</v>
      </c>
      <c r="C7" s="28">
        <f>($A$3-B6)*20%</f>
        <v>1843200.0</v>
      </c>
      <c r="D7" s="25" t="s">
        <v>142</v>
      </c>
      <c r="E7" s="28">
        <v>2.0E7</v>
      </c>
      <c r="F7" s="63">
        <v>1398.0</v>
      </c>
    </row>
    <row r="8" spans="1:6" ht="22.5" customHeight="1">
      <c r="A8" s="82">
        <f>$A$3-B8</f>
        <v>5898240.0</v>
      </c>
      <c r="B8" s="83">
        <f>B7+C8</f>
        <v>1.410176E7</v>
      </c>
      <c r="C8" s="83">
        <f>($A$3-B7)*20%</f>
        <v>1474560.0</v>
      </c>
      <c r="F8" s="84">
        <v>1399.0</v>
      </c>
    </row>
    <row r="9" spans="1:6" ht="22.5" customHeight="1">
      <c r="A9" s="82">
        <f>$A$3-B9</f>
        <v>4718592.0</v>
      </c>
      <c r="B9" s="83">
        <f>B8+C9</f>
        <v>1.5281408E7</v>
      </c>
      <c r="C9" s="83">
        <f>($A$3-B8)*20%</f>
        <v>1179648.0</v>
      </c>
      <c r="F9" s="84">
        <v>1400.0</v>
      </c>
    </row>
    <row r="10" spans="1:6" ht="22.5" customHeight="1">
      <c r="A10" s="82">
        <f>$A$3-B10</f>
        <v>3774873.5999999996</v>
      </c>
      <c r="B10" s="83">
        <f>B9+C10</f>
        <v>1.62251264E7</v>
      </c>
      <c r="C10" s="83">
        <f>($A$3-B9)*20%</f>
        <v>943718.4</v>
      </c>
      <c r="F10" s="84">
        <v>1401.0</v>
      </c>
    </row>
    <row r="11" spans="1:6" ht="22.5" customHeight="1">
      <c r="A11" s="82">
        <f>$A$3-B11</f>
        <v>3019898.879999999</v>
      </c>
      <c r="B11" s="83">
        <f>B10+C11</f>
        <v>1.698010112E7</v>
      </c>
      <c r="C11" s="83">
        <f>($A$3-B10)*20%</f>
        <v>754974.72</v>
      </c>
      <c r="F11" s="84">
        <v>1402.0</v>
      </c>
    </row>
    <row r="12" spans="1:6" ht="22.5" customHeight="1">
      <c r="A12" s="82">
        <f>$A$3-B12</f>
        <v>2415919.1039999984</v>
      </c>
      <c r="B12" s="83">
        <f>B11+C12</f>
        <v>1.7584080896E7</v>
      </c>
      <c r="C12" s="83">
        <f>($A$3-B11)*20%</f>
        <v>603979.7759999998</v>
      </c>
      <c r="F12" s="84">
        <v>1403.0</v>
      </c>
    </row>
    <row r="13" spans="1:6" ht="22.5" customHeight="1">
      <c r="A13" s="82">
        <f>$A$3-B13</f>
        <v>1932735.2831999995</v>
      </c>
      <c r="B13" s="83">
        <f>B12+C13</f>
        <v>1.80672647168E7</v>
      </c>
      <c r="C13" s="83">
        <f>($A$3-B12)*20%</f>
        <v>483183.8207999997</v>
      </c>
      <c r="F13" s="84">
        <v>1404.0</v>
      </c>
    </row>
    <row r="14" spans="1:6" ht="22.5" customHeight="1">
      <c r="A14" s="82">
        <f>$A$3-B14</f>
        <v>1546188.2265600003</v>
      </c>
      <c r="B14" s="83">
        <f>B13+C14</f>
        <v>1.845381177344E7</v>
      </c>
      <c r="C14" s="83">
        <f>($A$3-B13)*20%</f>
        <v>386547.0566399999</v>
      </c>
      <c r="F14" s="84">
        <v>1405.0</v>
      </c>
    </row>
    <row r="15" spans="1:6" ht="22.5" customHeight="1">
      <c r="A15" s="82">
        <f>$A$3-B15</f>
        <v>1236950.5812480003</v>
      </c>
      <c r="B15" s="83">
        <f>B14+C15</f>
        <v>1.8763049418752E7</v>
      </c>
      <c r="C15" s="83">
        <f>($A$3-B14)*20%</f>
        <v>309237.64531200007</v>
      </c>
      <c r="F15" s="84">
        <v>1406.0</v>
      </c>
    </row>
    <row r="16" spans="1:6" ht="22.5" customHeight="1">
      <c r="A16" s="82">
        <f>$A$3-B16</f>
        <v>989560.4649984017</v>
      </c>
      <c r="B16" s="83">
        <f>B15+C16</f>
        <v>1.90104395350016E7</v>
      </c>
      <c r="C16" s="83">
        <f>($A$3-B15)*20%</f>
        <v>247390.11624960008</v>
      </c>
      <c r="F16" s="84">
        <v>1407.0</v>
      </c>
    </row>
    <row r="18" spans="1:6">
      <c r="A18" s="34">
        <f>E4*5%</f>
        <v>1000000.0</v>
      </c>
    </row>
  </sheetData>
  <mergeCells count="1">
    <mergeCell ref="A1:F1"/>
  </mergeCell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کارعملی1</vt:lpstr>
      <vt:lpstr>کارعملی 2</vt:lpstr>
      <vt:lpstr>کار عملی 3</vt:lpstr>
      <vt:lpstr>کارعملی 4</vt:lpstr>
      <vt:lpstr>کارعملی5</vt:lpstr>
      <vt:lpstr>کارعملی6</vt:lpstr>
      <vt:lpstr>کارعملی7</vt:lpstr>
      <vt:lpstr>کار عملی8</vt:lpstr>
      <vt:lpstr>کارعملی9</vt:lpstr>
      <vt:lpstr>کارعملی10</vt:lpstr>
      <vt:lpstr>کارعملی 11</vt:lpstr>
      <vt:lpstr>کارعملی12</vt:lpstr>
      <vt:lpstr>کارعملی 13</vt:lpstr>
      <vt:lpstr>کار عملی 14</vt:lpstr>
      <vt:lpstr>کار عملی 15</vt:lpstr>
      <vt:lpstr>کار عملی 16</vt:lpstr>
      <vt:lpstr>کارعملی17</vt:lpstr>
      <vt:lpstr>کار عملی 18</vt:lpstr>
      <vt:lpstr>کارعملی 19</vt:lpstr>
      <vt:lpstr>کارعملی 20</vt:lpstr>
      <vt:lpstr>کارعملی 21</vt:lpstr>
      <vt:lpstr>کارعملی 22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xsi="http://www.w3.org/2001/XMLSchema-instance">
  <dc:creator>Android phone</dc:creator>
  <cp:lastModifiedBy>Android phone</cp:lastModifiedBy>
</cp:coreProperties>
</file>